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myisme\ISME\Accreditation\NAAC\NAAC Supporting Documents\"/>
    </mc:Choice>
  </mc:AlternateContent>
  <xr:revisionPtr revIDLastSave="0" documentId="13_ncr:1_{CDFF6DAA-6715-433D-91C1-C8E90F9AA632}" xr6:coauthVersionLast="47" xr6:coauthVersionMax="47" xr10:uidLastSave="{00000000-0000-0000-0000-000000000000}"/>
  <bookViews>
    <workbookView xWindow="-110" yWindow="-110" windowWidth="19420" windowHeight="12300" xr2:uid="{00000000-000D-0000-FFFF-FFFF00000000}"/>
  </bookViews>
  <sheets>
    <sheet name="Master Sheet_7-Mar-24" sheetId="5" r:id="rId1"/>
    <sheet name="Criteria-wise Breakup" sheetId="7" r:id="rId2"/>
    <sheet name="Overall Analysis_7-Mar-24" sheetId="6" r:id="rId3"/>
    <sheet name="Comparative Analysis" sheetId="4" r:id="rId4"/>
    <sheet name="Comparison - Criteria-wise" sheetId="8" r:id="rId5"/>
  </sheets>
  <definedNames>
    <definedName name="_xlnm._FilterDatabase" localSheetId="4" hidden="1">'Comparison - Criteria-wise'!$C$1:$C$71</definedName>
    <definedName name="_xlnm._FilterDatabase" localSheetId="0" hidden="1">'Master Sheet_7-Mar-24'!$A$2:$M$71</definedName>
  </definedNames>
  <calcPr calcId="191029"/>
</workbook>
</file>

<file path=xl/calcChain.xml><?xml version="1.0" encoding="utf-8"?>
<calcChain xmlns="http://schemas.openxmlformats.org/spreadsheetml/2006/main">
  <c r="E47" i="5" l="1"/>
  <c r="E20" i="5"/>
  <c r="E16" i="5"/>
  <c r="E7" i="5"/>
  <c r="E12" i="5"/>
  <c r="E43" i="5"/>
  <c r="E59" i="5" l="1"/>
  <c r="I58" i="5"/>
  <c r="E58" i="5"/>
  <c r="E5" i="5" l="1"/>
  <c r="E45" i="5" l="1"/>
  <c r="H3" i="5" l="1"/>
  <c r="G4" i="5"/>
  <c r="A11" i="8" l="1"/>
  <c r="A12" i="8" s="1"/>
  <c r="A13" i="8" s="1"/>
  <c r="A14" i="8" s="1"/>
  <c r="A15" i="8" s="1"/>
  <c r="A16" i="8" s="1"/>
  <c r="A17" i="8" s="1"/>
  <c r="A18" i="8" s="1"/>
  <c r="A19" i="8" s="1"/>
  <c r="A20" i="8" s="1"/>
  <c r="A21" i="8" s="1"/>
  <c r="A24" i="8" s="1"/>
  <c r="A25" i="8" s="1"/>
  <c r="A26" i="8" s="1"/>
  <c r="A27" i="8" s="1"/>
  <c r="A28" i="8" s="1"/>
  <c r="A29" i="8" s="1"/>
  <c r="A30" i="8" s="1"/>
  <c r="A31" i="8" s="1"/>
  <c r="A32" i="8" s="1"/>
  <c r="A35" i="8" s="1"/>
  <c r="A36" i="8" s="1"/>
  <c r="A37" i="8" s="1"/>
  <c r="A38" i="8" s="1"/>
  <c r="A39" i="8" s="1"/>
  <c r="A40" i="8" s="1"/>
  <c r="A43" i="8" s="1"/>
  <c r="A44" i="8" s="1"/>
  <c r="A45" i="8" s="1"/>
  <c r="A46" i="8" s="1"/>
  <c r="A47" i="8" s="1"/>
  <c r="A48" i="8" s="1"/>
  <c r="A49" i="8" s="1"/>
  <c r="A50" i="8" s="1"/>
  <c r="A51" i="8" s="1"/>
  <c r="A54" i="8" s="1"/>
  <c r="A55" i="8" s="1"/>
  <c r="A56" i="8" s="1"/>
  <c r="A57" i="8" s="1"/>
  <c r="A58" i="8" s="1"/>
  <c r="A59" i="8" s="1"/>
  <c r="A60" i="8" s="1"/>
  <c r="A61" i="8" s="1"/>
  <c r="A62" i="8" s="1"/>
  <c r="A65" i="8" s="1"/>
  <c r="A66" i="8" s="1"/>
  <c r="A67" i="8" s="1"/>
  <c r="A68" i="8" s="1"/>
  <c r="A69" i="8" s="1"/>
  <c r="A70" i="8" s="1"/>
  <c r="E7" i="8"/>
  <c r="E45" i="8"/>
  <c r="D39" i="8"/>
  <c r="D36" i="8"/>
  <c r="E59" i="8"/>
  <c r="D29" i="8"/>
  <c r="E46" i="8"/>
  <c r="E11" i="8"/>
  <c r="E37" i="8"/>
  <c r="E54" i="8"/>
  <c r="E6" i="8"/>
  <c r="E50" i="8"/>
  <c r="E55" i="8"/>
  <c r="D27" i="8"/>
  <c r="D5" i="8"/>
  <c r="D47" i="8"/>
  <c r="D35" i="8"/>
  <c r="E18" i="8"/>
  <c r="E24" i="8"/>
  <c r="D7" i="8"/>
  <c r="E62" i="8"/>
  <c r="D24" i="8"/>
  <c r="E56" i="8"/>
  <c r="D25" i="8"/>
  <c r="E60" i="8"/>
  <c r="D56" i="8"/>
  <c r="D19" i="8"/>
  <c r="E19" i="8"/>
  <c r="E68" i="8"/>
  <c r="D44" i="8"/>
  <c r="E61" i="8"/>
  <c r="D55" i="8"/>
  <c r="E13" i="8"/>
  <c r="D26" i="8"/>
  <c r="E14" i="8"/>
  <c r="E66" i="8"/>
  <c r="D28" i="8"/>
  <c r="E43" i="8"/>
  <c r="E48" i="8"/>
  <c r="E28" i="8"/>
  <c r="E27" i="8"/>
  <c r="E40" i="8"/>
  <c r="D49" i="8"/>
  <c r="D51" i="8"/>
  <c r="D16" i="8"/>
  <c r="E25" i="8"/>
  <c r="E21" i="8"/>
  <c r="D17" i="8"/>
  <c r="D13" i="8"/>
  <c r="D46" i="8"/>
  <c r="D3" i="8"/>
  <c r="E26" i="8"/>
  <c r="D40" i="8"/>
  <c r="E49" i="8"/>
  <c r="D68" i="8"/>
  <c r="D30" i="8"/>
  <c r="D8" i="8"/>
  <c r="D12" i="8"/>
  <c r="E65" i="8"/>
  <c r="D31" i="8"/>
  <c r="E17" i="8"/>
  <c r="D4" i="8"/>
  <c r="D65" i="8"/>
  <c r="E29" i="8"/>
  <c r="E32" i="8"/>
  <c r="E47" i="8"/>
  <c r="D69" i="8"/>
  <c r="E35" i="8"/>
  <c r="D62" i="8"/>
  <c r="D66" i="8"/>
  <c r="D14" i="8"/>
  <c r="E38" i="8"/>
  <c r="E16" i="8"/>
  <c r="E69" i="8"/>
  <c r="E58" i="8"/>
  <c r="D43" i="8"/>
  <c r="D57" i="8"/>
  <c r="D11" i="8"/>
  <c r="E57" i="8"/>
  <c r="D6" i="8"/>
  <c r="D20" i="8"/>
  <c r="D61" i="8"/>
  <c r="D58" i="8"/>
  <c r="D37" i="8"/>
  <c r="E12" i="8"/>
  <c r="D15" i="8"/>
  <c r="E51" i="8"/>
  <c r="E20" i="8"/>
  <c r="E30" i="8"/>
  <c r="E3" i="8"/>
  <c r="D50" i="8"/>
  <c r="D32" i="8"/>
  <c r="D60" i="8"/>
  <c r="D54" i="8"/>
  <c r="E31" i="8"/>
  <c r="E5" i="8"/>
  <c r="D67" i="8"/>
  <c r="E44" i="8"/>
  <c r="D48" i="8"/>
  <c r="D70" i="8"/>
  <c r="D45" i="8"/>
  <c r="E70" i="8"/>
  <c r="D18" i="8"/>
  <c r="D21" i="8"/>
  <c r="E36" i="8"/>
  <c r="D59" i="8"/>
  <c r="D38" i="8"/>
  <c r="E15" i="8"/>
  <c r="E39" i="8"/>
  <c r="E8" i="8"/>
  <c r="E67" i="8"/>
  <c r="E4" i="8"/>
  <c r="F7" i="8" l="1"/>
  <c r="F44" i="8"/>
  <c r="F5" i="8"/>
  <c r="F11" i="8"/>
  <c r="F13" i="8"/>
  <c r="F15" i="8"/>
  <c r="F17" i="8"/>
  <c r="F19" i="8"/>
  <c r="F21" i="8"/>
  <c r="F25" i="8"/>
  <c r="F27" i="8"/>
  <c r="F29" i="8"/>
  <c r="F31" i="8"/>
  <c r="F35" i="8"/>
  <c r="F37" i="8"/>
  <c r="F39" i="8"/>
  <c r="F46" i="8"/>
  <c r="F48" i="8"/>
  <c r="F50" i="8"/>
  <c r="F54" i="8"/>
  <c r="F56" i="8"/>
  <c r="F58" i="8"/>
  <c r="F60" i="8"/>
  <c r="F62" i="8"/>
  <c r="F65" i="8"/>
  <c r="F67" i="8"/>
  <c r="F69" i="8"/>
  <c r="F8" i="8"/>
  <c r="F6" i="8"/>
  <c r="F14" i="8"/>
  <c r="F18" i="8"/>
  <c r="F24" i="8"/>
  <c r="F28" i="8"/>
  <c r="F32" i="8"/>
  <c r="F36" i="8"/>
  <c r="F40" i="8"/>
  <c r="F43" i="8"/>
  <c r="F45" i="8"/>
  <c r="F51" i="8"/>
  <c r="F55" i="8"/>
  <c r="F59" i="8"/>
  <c r="F66" i="8"/>
  <c r="F68" i="8"/>
  <c r="F3" i="8"/>
  <c r="F12" i="8"/>
  <c r="F16" i="8"/>
  <c r="F20" i="8"/>
  <c r="F26" i="8"/>
  <c r="F30" i="8"/>
  <c r="F38" i="8"/>
  <c r="F47" i="8"/>
  <c r="F49" i="8"/>
  <c r="F57" i="8"/>
  <c r="F61" i="8"/>
  <c r="F70" i="8"/>
  <c r="F4" i="8"/>
  <c r="A11" i="5" l="1"/>
  <c r="A12" i="5" s="1"/>
  <c r="A13" i="5" s="1"/>
  <c r="A14" i="5" s="1"/>
  <c r="A15" i="5" s="1"/>
  <c r="A16" i="5" s="1"/>
  <c r="A17" i="5" s="1"/>
  <c r="A18" i="5" s="1"/>
  <c r="A19" i="5" s="1"/>
  <c r="A20" i="5" s="1"/>
  <c r="A21" i="5" s="1"/>
  <c r="A24" i="5" s="1"/>
  <c r="A25" i="5" s="1"/>
  <c r="A26" i="5" s="1"/>
  <c r="A27" i="5" s="1"/>
  <c r="A28" i="5" s="1"/>
  <c r="A29" i="5" s="1"/>
  <c r="A30" i="5" s="1"/>
  <c r="A31" i="5" s="1"/>
  <c r="A32" i="5" s="1"/>
  <c r="A35" i="5" s="1"/>
  <c r="A36" i="5" s="1"/>
  <c r="A37" i="5" s="1"/>
  <c r="A38" i="5" s="1"/>
  <c r="A39" i="5" s="1"/>
  <c r="A40" i="5" s="1"/>
  <c r="A43" i="5" s="1"/>
  <c r="A44" i="5" s="1"/>
  <c r="A45" i="5" s="1"/>
  <c r="A46" i="5" s="1"/>
  <c r="A47" i="5" s="1"/>
  <c r="A48" i="5" s="1"/>
  <c r="A49" i="5" s="1"/>
  <c r="A50" i="5" s="1"/>
  <c r="A51" i="5" s="1"/>
  <c r="A54" i="5" s="1"/>
  <c r="A55" i="5" s="1"/>
  <c r="A56" i="5" s="1"/>
  <c r="A57" i="5" s="1"/>
  <c r="A58" i="5" s="1"/>
  <c r="A59" i="5" s="1"/>
  <c r="A60" i="5" s="1"/>
  <c r="A61" i="5" s="1"/>
  <c r="A62" i="5" l="1"/>
  <c r="A65" i="5" s="1"/>
  <c r="A66" i="5" s="1"/>
  <c r="A67" i="5" s="1"/>
  <c r="A68" i="5" s="1"/>
  <c r="A69" i="5" s="1"/>
  <c r="A70" i="5" s="1"/>
  <c r="B39" i="4"/>
  <c r="H68" i="5"/>
  <c r="H30" i="5"/>
  <c r="G67" i="5"/>
  <c r="G62" i="5"/>
  <c r="G56" i="5"/>
  <c r="G50" i="5"/>
  <c r="G36" i="5"/>
  <c r="I21" i="5"/>
  <c r="G13" i="5"/>
  <c r="E12" i="7"/>
  <c r="D12" i="7"/>
  <c r="C12" i="7"/>
  <c r="B12" i="7"/>
  <c r="G11" i="7"/>
  <c r="F11" i="7"/>
  <c r="G10" i="7"/>
  <c r="F10" i="7"/>
  <c r="G9" i="7"/>
  <c r="F9" i="7"/>
  <c r="G8" i="7"/>
  <c r="F8" i="7"/>
  <c r="G7" i="7"/>
  <c r="F7" i="7"/>
  <c r="G6" i="7"/>
  <c r="F6" i="7"/>
  <c r="G5" i="7"/>
  <c r="F5" i="7"/>
  <c r="F12" i="7" l="1"/>
  <c r="G12" i="7"/>
  <c r="J21" i="5"/>
  <c r="G21" i="5" l="1"/>
  <c r="D71" i="5"/>
  <c r="E71" i="5" s="1"/>
  <c r="I70" i="5"/>
  <c r="J70" i="5" s="1"/>
  <c r="H70" i="5"/>
  <c r="I69" i="5"/>
  <c r="J69" i="5" s="1"/>
  <c r="H69" i="5"/>
  <c r="I68" i="5"/>
  <c r="J68" i="5" s="1"/>
  <c r="I67" i="5"/>
  <c r="J67" i="5" s="1"/>
  <c r="I66" i="5"/>
  <c r="J66" i="5" s="1"/>
  <c r="G66" i="5"/>
  <c r="I65" i="5"/>
  <c r="H65" i="5"/>
  <c r="D63" i="5"/>
  <c r="E63" i="5" s="1"/>
  <c r="I62" i="5"/>
  <c r="J62" i="5" s="1"/>
  <c r="I61" i="5"/>
  <c r="J61" i="5" s="1"/>
  <c r="H61" i="5"/>
  <c r="I60" i="5"/>
  <c r="J60" i="5" s="1"/>
  <c r="H60" i="5"/>
  <c r="I59" i="5"/>
  <c r="J59" i="5" s="1"/>
  <c r="G59" i="5"/>
  <c r="J58" i="5"/>
  <c r="G58" i="5"/>
  <c r="I57" i="5"/>
  <c r="J57" i="5" s="1"/>
  <c r="H57" i="5"/>
  <c r="I56" i="5"/>
  <c r="J56" i="5" s="1"/>
  <c r="I55" i="5"/>
  <c r="J55" i="5" s="1"/>
  <c r="H55" i="5"/>
  <c r="I54" i="5"/>
  <c r="J54" i="5" s="1"/>
  <c r="H54" i="5"/>
  <c r="D52" i="5"/>
  <c r="E52" i="5" s="1"/>
  <c r="I51" i="5"/>
  <c r="J51" i="5" s="1"/>
  <c r="H51" i="5"/>
  <c r="I50" i="5"/>
  <c r="J50" i="5" s="1"/>
  <c r="I49" i="5"/>
  <c r="J49" i="5" s="1"/>
  <c r="G49" i="5"/>
  <c r="I48" i="5"/>
  <c r="J48" i="5" s="1"/>
  <c r="G48" i="5"/>
  <c r="I47" i="5"/>
  <c r="J47" i="5" s="1"/>
  <c r="G47" i="5"/>
  <c r="I46" i="5"/>
  <c r="J46" i="5" s="1"/>
  <c r="G46" i="5"/>
  <c r="I45" i="5"/>
  <c r="J45" i="5" s="1"/>
  <c r="G45" i="5"/>
  <c r="I44" i="5"/>
  <c r="J44" i="5" s="1"/>
  <c r="G44" i="5"/>
  <c r="I43" i="5"/>
  <c r="G43" i="5"/>
  <c r="D41" i="5"/>
  <c r="E41" i="5" s="1"/>
  <c r="I40" i="5"/>
  <c r="J40" i="5" s="1"/>
  <c r="G40" i="5"/>
  <c r="I39" i="5"/>
  <c r="J39" i="5" s="1"/>
  <c r="G39" i="5"/>
  <c r="I38" i="5"/>
  <c r="J38" i="5" s="1"/>
  <c r="H38" i="5"/>
  <c r="I37" i="5"/>
  <c r="J37" i="5" s="1"/>
  <c r="H37" i="5"/>
  <c r="I36" i="5"/>
  <c r="J36" i="5" s="1"/>
  <c r="I35" i="5"/>
  <c r="J35" i="5" s="1"/>
  <c r="H35" i="5"/>
  <c r="D33" i="5"/>
  <c r="E33" i="5" s="1"/>
  <c r="I32" i="5"/>
  <c r="J32" i="5" s="1"/>
  <c r="G32" i="5"/>
  <c r="I31" i="5"/>
  <c r="J31" i="5" s="1"/>
  <c r="G31" i="5"/>
  <c r="I30" i="5"/>
  <c r="J30" i="5" s="1"/>
  <c r="I29" i="5"/>
  <c r="J29" i="5" s="1"/>
  <c r="H29" i="5"/>
  <c r="I28" i="5"/>
  <c r="J28" i="5" s="1"/>
  <c r="G28" i="5"/>
  <c r="I27" i="5"/>
  <c r="J27" i="5" s="1"/>
  <c r="G27" i="5"/>
  <c r="I26" i="5"/>
  <c r="J26" i="5" s="1"/>
  <c r="G26" i="5"/>
  <c r="I25" i="5"/>
  <c r="J25" i="5" s="1"/>
  <c r="H25" i="5"/>
  <c r="I24" i="5"/>
  <c r="J24" i="5" s="1"/>
  <c r="G24" i="5"/>
  <c r="D22" i="5"/>
  <c r="E22" i="5" s="1"/>
  <c r="I20" i="5"/>
  <c r="J20" i="5" s="1"/>
  <c r="G20" i="5"/>
  <c r="I19" i="5"/>
  <c r="J19" i="5" s="1"/>
  <c r="H19" i="5"/>
  <c r="I18" i="5"/>
  <c r="J18" i="5" s="1"/>
  <c r="H18" i="5"/>
  <c r="I17" i="5"/>
  <c r="J17" i="5" s="1"/>
  <c r="H17" i="5"/>
  <c r="I16" i="5"/>
  <c r="J16" i="5" s="1"/>
  <c r="G16" i="5"/>
  <c r="I15" i="5"/>
  <c r="J15" i="5" s="1"/>
  <c r="G15" i="5"/>
  <c r="I14" i="5"/>
  <c r="J14" i="5" s="1"/>
  <c r="H14" i="5"/>
  <c r="I13" i="5"/>
  <c r="J13" i="5" s="1"/>
  <c r="I12" i="5"/>
  <c r="J12" i="5" s="1"/>
  <c r="G12" i="5"/>
  <c r="I11" i="5"/>
  <c r="J11" i="5" s="1"/>
  <c r="G11" i="5"/>
  <c r="D9" i="5"/>
  <c r="E9" i="5" s="1"/>
  <c r="I8" i="5"/>
  <c r="J8" i="5" s="1"/>
  <c r="G8" i="5"/>
  <c r="I7" i="5"/>
  <c r="J7" i="5" s="1"/>
  <c r="G7" i="5"/>
  <c r="I6" i="5"/>
  <c r="J6" i="5" s="1"/>
  <c r="H6" i="5"/>
  <c r="I5" i="5"/>
  <c r="J5" i="5" s="1"/>
  <c r="G5" i="5"/>
  <c r="I4" i="5"/>
  <c r="J4" i="5" s="1"/>
  <c r="I3" i="5"/>
  <c r="J3" i="5" s="1"/>
  <c r="F9" i="4"/>
  <c r="G8" i="4"/>
  <c r="F8" i="4"/>
  <c r="G7" i="4"/>
  <c r="F7" i="4"/>
  <c r="G6" i="4"/>
  <c r="F6" i="4"/>
  <c r="H6" i="4" s="1"/>
  <c r="D11" i="4"/>
  <c r="G11" i="4" s="1"/>
  <c r="F5" i="4"/>
  <c r="B11" i="4"/>
  <c r="B99" i="4"/>
  <c r="B92" i="4"/>
  <c r="B98" i="4"/>
  <c r="B91" i="4"/>
  <c r="B97" i="4"/>
  <c r="B90" i="4"/>
  <c r="B96" i="4"/>
  <c r="B89" i="4"/>
  <c r="B95" i="4"/>
  <c r="B88" i="4"/>
  <c r="B94" i="4"/>
  <c r="B87" i="4"/>
  <c r="B93" i="4"/>
  <c r="B86" i="4"/>
  <c r="B77" i="4"/>
  <c r="B76" i="4"/>
  <c r="B75" i="4"/>
  <c r="B74" i="4"/>
  <c r="B73" i="4"/>
  <c r="B72" i="4"/>
  <c r="B71" i="4"/>
  <c r="B70" i="4"/>
  <c r="B69" i="4"/>
  <c r="B68" i="4"/>
  <c r="B67" i="4"/>
  <c r="B66" i="4"/>
  <c r="B65" i="4"/>
  <c r="B64" i="4"/>
  <c r="B40" i="4"/>
  <c r="G10" i="4"/>
  <c r="F10" i="4"/>
  <c r="G9" i="4"/>
  <c r="G4" i="4"/>
  <c r="F4" i="4"/>
  <c r="H4" i="4" s="1"/>
  <c r="H8" i="4" l="1"/>
  <c r="H10" i="4"/>
  <c r="H9" i="4"/>
  <c r="H7" i="4"/>
  <c r="J22" i="5"/>
  <c r="H52" i="5"/>
  <c r="L7" i="6" s="1"/>
  <c r="G71" i="5"/>
  <c r="I9" i="6" s="1"/>
  <c r="H22" i="5"/>
  <c r="L4" i="6" s="1"/>
  <c r="H33" i="5"/>
  <c r="L5" i="6" s="1"/>
  <c r="H71" i="5"/>
  <c r="L9" i="6" s="1"/>
  <c r="I71" i="5"/>
  <c r="M71" i="5" s="1"/>
  <c r="G63" i="5"/>
  <c r="I8" i="6" s="1"/>
  <c r="H63" i="5"/>
  <c r="L8" i="6" s="1"/>
  <c r="G52" i="5"/>
  <c r="I7" i="6" s="1"/>
  <c r="I52" i="5"/>
  <c r="M52" i="5" s="1"/>
  <c r="G41" i="5"/>
  <c r="I6" i="6" s="1"/>
  <c r="H41" i="5"/>
  <c r="L6" i="6" s="1"/>
  <c r="I41" i="5"/>
  <c r="M41" i="5" s="1"/>
  <c r="I33" i="5"/>
  <c r="M33" i="5" s="1"/>
  <c r="G33" i="5"/>
  <c r="G22" i="5"/>
  <c r="I4" i="6" s="1"/>
  <c r="I22" i="5"/>
  <c r="M22" i="5" s="1"/>
  <c r="I9" i="5"/>
  <c r="M9" i="5" s="1"/>
  <c r="J9" i="5"/>
  <c r="H9" i="5"/>
  <c r="L3" i="6" s="1"/>
  <c r="G9" i="5"/>
  <c r="I3" i="6" s="1"/>
  <c r="J63" i="5"/>
  <c r="J33" i="5"/>
  <c r="J41" i="5"/>
  <c r="I63" i="5"/>
  <c r="M63" i="5" s="1"/>
  <c r="J43" i="5"/>
  <c r="J52" i="5" s="1"/>
  <c r="J65" i="5"/>
  <c r="J71" i="5" s="1"/>
  <c r="C11" i="4"/>
  <c r="F11" i="4" s="1"/>
  <c r="G5" i="4"/>
  <c r="H5" i="4" s="1"/>
  <c r="E76" i="4"/>
  <c r="U4" i="4"/>
  <c r="L8" i="4"/>
  <c r="R5" i="4"/>
  <c r="D70" i="4"/>
  <c r="D67" i="4"/>
  <c r="D72" i="4"/>
  <c r="D75" i="4"/>
  <c r="E69" i="4"/>
  <c r="I10" i="4"/>
  <c r="R9" i="4"/>
  <c r="E67" i="4"/>
  <c r="E74" i="4"/>
  <c r="R4" i="4"/>
  <c r="U10" i="4"/>
  <c r="E70" i="4"/>
  <c r="L4" i="4"/>
  <c r="U9" i="4"/>
  <c r="U7" i="4"/>
  <c r="D74" i="4"/>
  <c r="L7" i="4"/>
  <c r="D77" i="4"/>
  <c r="R7" i="4"/>
  <c r="E64" i="4"/>
  <c r="I5" i="4"/>
  <c r="L10" i="4"/>
  <c r="R8" i="4"/>
  <c r="E68" i="4"/>
  <c r="D68" i="4"/>
  <c r="D71" i="4"/>
  <c r="U5" i="4"/>
  <c r="L9" i="4"/>
  <c r="D64" i="4"/>
  <c r="L5" i="4"/>
  <c r="R10" i="4"/>
  <c r="I8" i="4"/>
  <c r="E65" i="4"/>
  <c r="U8" i="4"/>
  <c r="D69" i="4"/>
  <c r="E77" i="4"/>
  <c r="D65" i="4"/>
  <c r="I9" i="4"/>
  <c r="I7" i="4"/>
  <c r="D76" i="4"/>
  <c r="E71" i="4"/>
  <c r="I4" i="4"/>
  <c r="E72" i="4"/>
  <c r="E75" i="4"/>
  <c r="F76" i="4" l="1"/>
  <c r="O7" i="6"/>
  <c r="O3" i="6"/>
  <c r="O6" i="6"/>
  <c r="O9" i="6"/>
  <c r="O4" i="6"/>
  <c r="O8" i="6"/>
  <c r="I5" i="6"/>
  <c r="H11" i="4"/>
  <c r="F74" i="4"/>
  <c r="F77" i="4"/>
  <c r="F75" i="4"/>
  <c r="F72" i="4"/>
  <c r="F71" i="4"/>
  <c r="O4" i="4"/>
  <c r="U6" i="4"/>
  <c r="D66" i="4"/>
  <c r="X8" i="4"/>
  <c r="E73" i="4"/>
  <c r="L6" i="4"/>
  <c r="X10" i="4"/>
  <c r="O9" i="4"/>
  <c r="X5" i="4"/>
  <c r="R6" i="4"/>
  <c r="O5" i="4"/>
  <c r="O10" i="4"/>
  <c r="D73" i="4"/>
  <c r="X9" i="4"/>
  <c r="X7" i="4"/>
  <c r="O8" i="4"/>
  <c r="X4" i="4"/>
  <c r="I6" i="4"/>
  <c r="O7" i="4"/>
  <c r="E66" i="4"/>
  <c r="F73" i="4" l="1"/>
  <c r="O5" i="6"/>
  <c r="G9" i="6"/>
  <c r="G5" i="6"/>
  <c r="G6" i="6"/>
  <c r="G7" i="6"/>
  <c r="G8" i="6"/>
  <c r="X6" i="4"/>
  <c r="O6" i="4"/>
  <c r="M5" i="6" l="1"/>
  <c r="G4" i="6"/>
  <c r="M6" i="6"/>
  <c r="G3" i="6"/>
  <c r="C10" i="6"/>
  <c r="V7" i="4"/>
  <c r="E96" i="4"/>
  <c r="M6" i="4"/>
  <c r="E95" i="4"/>
  <c r="V6" i="4"/>
  <c r="E89" i="4"/>
  <c r="E88" i="4"/>
  <c r="M7" i="4"/>
  <c r="N6" i="6" l="1"/>
  <c r="N7" i="6"/>
  <c r="M4" i="6"/>
  <c r="N4" i="6"/>
  <c r="N8" i="6"/>
  <c r="M7" i="6"/>
  <c r="N5" i="6"/>
  <c r="M8" i="6"/>
  <c r="L10" i="6"/>
  <c r="N3" i="6"/>
  <c r="N9" i="6"/>
  <c r="M9" i="6"/>
  <c r="G10" i="6"/>
  <c r="M3" i="6"/>
  <c r="I10" i="6"/>
  <c r="U11" i="4"/>
  <c r="N7" i="4"/>
  <c r="N9" i="4"/>
  <c r="E99" i="4"/>
  <c r="E93" i="4"/>
  <c r="W10" i="4"/>
  <c r="V10" i="4"/>
  <c r="W8" i="4"/>
  <c r="W7" i="4"/>
  <c r="N6" i="4"/>
  <c r="W5" i="4"/>
  <c r="V4" i="4"/>
  <c r="E86" i="4"/>
  <c r="W6" i="4"/>
  <c r="V8" i="4"/>
  <c r="V9" i="4"/>
  <c r="E90" i="4"/>
  <c r="R11" i="4"/>
  <c r="E87" i="4"/>
  <c r="M8" i="4"/>
  <c r="M4" i="4"/>
  <c r="N8" i="4"/>
  <c r="L11" i="4"/>
  <c r="M10" i="4"/>
  <c r="N10" i="4"/>
  <c r="N5" i="4"/>
  <c r="V5" i="4"/>
  <c r="M9" i="4"/>
  <c r="W4" i="4"/>
  <c r="N4" i="4"/>
  <c r="E92" i="4"/>
  <c r="E91" i="4"/>
  <c r="W9" i="4"/>
  <c r="I11" i="4"/>
  <c r="M5" i="4"/>
  <c r="E97" i="4"/>
  <c r="E98" i="4"/>
  <c r="E94" i="4"/>
  <c r="U13" i="4" l="1"/>
  <c r="D19" i="4"/>
  <c r="D29" i="4"/>
  <c r="C29" i="4"/>
  <c r="R13" i="4"/>
  <c r="C19" i="4"/>
  <c r="K19" i="6"/>
  <c r="K18" i="6"/>
  <c r="K17" i="6"/>
  <c r="M10" i="6"/>
  <c r="N10" i="6"/>
  <c r="L12" i="6"/>
  <c r="D28" i="4"/>
  <c r="D18" i="4"/>
  <c r="C28" i="4"/>
  <c r="C18" i="4"/>
  <c r="W11" i="4"/>
  <c r="M11" i="4"/>
  <c r="V11" i="4"/>
  <c r="N11" i="4"/>
  <c r="D53" i="4" l="1"/>
  <c r="D52" i="4"/>
  <c r="D40" i="4"/>
  <c r="N12" i="6"/>
  <c r="D39" i="4"/>
  <c r="F5" i="6" l="1"/>
  <c r="K5" i="6"/>
  <c r="K6" i="4"/>
  <c r="T6" i="4"/>
  <c r="J5" i="6" l="1"/>
  <c r="Q5" i="6"/>
  <c r="E5" i="6"/>
  <c r="F3" i="6"/>
  <c r="B10" i="6"/>
  <c r="K3" i="6"/>
  <c r="F6" i="6"/>
  <c r="K6" i="6"/>
  <c r="F8" i="6"/>
  <c r="K8" i="6"/>
  <c r="F4" i="6"/>
  <c r="K4" i="6"/>
  <c r="F7" i="6"/>
  <c r="K7" i="6"/>
  <c r="E9" i="6"/>
  <c r="F9" i="6"/>
  <c r="K9" i="6"/>
  <c r="S6" i="4"/>
  <c r="K4" i="4"/>
  <c r="K7" i="4"/>
  <c r="T9" i="4"/>
  <c r="Z6" i="4"/>
  <c r="D88" i="4"/>
  <c r="J6" i="4"/>
  <c r="T8" i="4"/>
  <c r="K5" i="4"/>
  <c r="T5" i="4"/>
  <c r="T4" i="4"/>
  <c r="T10" i="4"/>
  <c r="Q6" i="4"/>
  <c r="D95" i="4"/>
  <c r="K9" i="4"/>
  <c r="T7" i="4"/>
  <c r="K8" i="4"/>
  <c r="K10" i="4"/>
  <c r="F95" i="4" l="1"/>
  <c r="F88" i="4"/>
  <c r="P5" i="6"/>
  <c r="J8" i="6"/>
  <c r="J6" i="6"/>
  <c r="J9" i="6"/>
  <c r="J7" i="6"/>
  <c r="Q7" i="6"/>
  <c r="J4" i="6"/>
  <c r="Q4" i="6"/>
  <c r="K10" i="6"/>
  <c r="E3" i="6"/>
  <c r="D10" i="6"/>
  <c r="J3" i="6"/>
  <c r="F10" i="6"/>
  <c r="I12" i="6" s="1"/>
  <c r="B16" i="6" s="1"/>
  <c r="E6" i="6"/>
  <c r="E4" i="6"/>
  <c r="E7" i="6"/>
  <c r="E8" i="6"/>
  <c r="F65" i="4"/>
  <c r="D90" i="4"/>
  <c r="D99" i="4"/>
  <c r="S10" i="4"/>
  <c r="P6" i="4"/>
  <c r="J4" i="4"/>
  <c r="D92" i="4"/>
  <c r="Y6" i="4"/>
  <c r="J9" i="4"/>
  <c r="K11" i="4"/>
  <c r="S5" i="4"/>
  <c r="D96" i="4"/>
  <c r="D93" i="4"/>
  <c r="T11" i="4"/>
  <c r="S8" i="4"/>
  <c r="Z5" i="4"/>
  <c r="S9" i="4"/>
  <c r="Q5" i="4"/>
  <c r="S7" i="4"/>
  <c r="Z8" i="4"/>
  <c r="D97" i="4"/>
  <c r="J5" i="4"/>
  <c r="J7" i="4"/>
  <c r="Q8" i="4"/>
  <c r="D87" i="4"/>
  <c r="D98" i="4"/>
  <c r="J8" i="4"/>
  <c r="D89" i="4"/>
  <c r="J10" i="4"/>
  <c r="D91" i="4"/>
  <c r="S4" i="4"/>
  <c r="D94" i="4"/>
  <c r="D86" i="4"/>
  <c r="F92" i="4" l="1"/>
  <c r="F99" i="4"/>
  <c r="F89" i="4"/>
  <c r="F96" i="4"/>
  <c r="F97" i="4"/>
  <c r="F90" i="4"/>
  <c r="F93" i="4"/>
  <c r="F91" i="4"/>
  <c r="F98" i="4"/>
  <c r="C53" i="4"/>
  <c r="C52" i="4"/>
  <c r="F87" i="4"/>
  <c r="F94" i="4"/>
  <c r="P9" i="6"/>
  <c r="P6" i="6"/>
  <c r="P7" i="6"/>
  <c r="Q3" i="6"/>
  <c r="P8" i="6"/>
  <c r="K12" i="6"/>
  <c r="C16" i="6" s="1"/>
  <c r="P4" i="6"/>
  <c r="Q6" i="6"/>
  <c r="Q8" i="6"/>
  <c r="I18" i="6"/>
  <c r="I19" i="6"/>
  <c r="I17" i="6"/>
  <c r="J10" i="6"/>
  <c r="P3" i="6"/>
  <c r="E10" i="6"/>
  <c r="F86" i="4"/>
  <c r="F64" i="4"/>
  <c r="P9" i="4"/>
  <c r="Y8" i="4"/>
  <c r="Z9" i="4"/>
  <c r="Y5" i="4"/>
  <c r="S11" i="4"/>
  <c r="Q4" i="4"/>
  <c r="P4" i="4"/>
  <c r="Y4" i="4"/>
  <c r="Z4" i="4"/>
  <c r="Q7" i="4"/>
  <c r="Y9" i="4"/>
  <c r="Y10" i="4"/>
  <c r="Z7" i="4"/>
  <c r="P7" i="4"/>
  <c r="Q9" i="4"/>
  <c r="Y7" i="4"/>
  <c r="P8" i="4"/>
  <c r="J11" i="4"/>
  <c r="P5" i="4"/>
  <c r="P10" i="4"/>
  <c r="C39" i="4" l="1"/>
  <c r="C40" i="4"/>
  <c r="L13" i="4"/>
  <c r="F66" i="4" l="1"/>
  <c r="F67" i="4" l="1"/>
  <c r="F68" i="4" l="1"/>
  <c r="F69" i="4" l="1"/>
  <c r="F70" i="4" l="1"/>
  <c r="Q9" i="6" l="1"/>
  <c r="O10" i="6"/>
  <c r="I13" i="4"/>
  <c r="O11" i="4"/>
  <c r="Q10" i="4"/>
  <c r="X11" i="4"/>
  <c r="Z10" i="4"/>
  <c r="O13" i="4" l="1"/>
  <c r="E28" i="4"/>
  <c r="E18" i="4"/>
  <c r="X13" i="4"/>
  <c r="E29" i="4"/>
  <c r="E19" i="4"/>
  <c r="O12" i="6"/>
  <c r="Q10" i="6"/>
  <c r="P10" i="6"/>
  <c r="Y11" i="4"/>
  <c r="Z11" i="4"/>
  <c r="Q11" i="4"/>
  <c r="P11" i="4"/>
  <c r="E52" i="4" l="1"/>
  <c r="E53" i="4"/>
  <c r="E40" i="4"/>
  <c r="E39" i="4"/>
  <c r="Q12" i="6"/>
</calcChain>
</file>

<file path=xl/sharedStrings.xml><?xml version="1.0" encoding="utf-8"?>
<sst xmlns="http://schemas.openxmlformats.org/spreadsheetml/2006/main" count="627" uniqueCount="240">
  <si>
    <t>Response</t>
  </si>
  <si>
    <t>QnM</t>
  </si>
  <si>
    <t>Total</t>
  </si>
  <si>
    <t xml:space="preserve">Gap </t>
  </si>
  <si>
    <t>Type</t>
  </si>
  <si>
    <t>Weightage</t>
  </si>
  <si>
    <t>QlM</t>
  </si>
  <si>
    <t>Mark</t>
  </si>
  <si>
    <t>Remark</t>
  </si>
  <si>
    <t>Criterion</t>
  </si>
  <si>
    <t>Maximum score</t>
  </si>
  <si>
    <t>Total Score obtained</t>
  </si>
  <si>
    <t>QnM Gap</t>
  </si>
  <si>
    <t>QlM Gap</t>
  </si>
  <si>
    <t>I. Curricular Aspects</t>
  </si>
  <si>
    <t>II. Teaching-Learning and Evaluation</t>
  </si>
  <si>
    <t>III. Research, Innovations and Extension</t>
  </si>
  <si>
    <t>IV. Infrastructure and Learning resources</t>
  </si>
  <si>
    <t>V. Student support and progression</t>
  </si>
  <si>
    <t>VI. Governance, Leadership and Management</t>
  </si>
  <si>
    <t>VII. Institutional values and best practices</t>
  </si>
  <si>
    <t>QLM Score</t>
  </si>
  <si>
    <t>QnM Score</t>
  </si>
  <si>
    <t>QnM Max Score</t>
  </si>
  <si>
    <t>QlM Max score</t>
  </si>
  <si>
    <t>QlM Score obtained</t>
  </si>
  <si>
    <t>QnM score obtained</t>
  </si>
  <si>
    <t>Observations</t>
  </si>
  <si>
    <t>Remarks</t>
  </si>
  <si>
    <t>Conclusion</t>
  </si>
  <si>
    <t>QlM Score</t>
  </si>
  <si>
    <t>Total Gap</t>
  </si>
  <si>
    <t>Date</t>
  </si>
  <si>
    <t>QnM CrGP</t>
  </si>
  <si>
    <t>QlM CrGP</t>
  </si>
  <si>
    <t>Criteria-wise QnM and QlM Score Trend</t>
  </si>
  <si>
    <t>Criteria</t>
  </si>
  <si>
    <t>Overall Score</t>
  </si>
  <si>
    <t>I</t>
  </si>
  <si>
    <t>II</t>
  </si>
  <si>
    <t>III</t>
  </si>
  <si>
    <t>IV</t>
  </si>
  <si>
    <t>V</t>
  </si>
  <si>
    <t>VI</t>
  </si>
  <si>
    <t>VII</t>
  </si>
  <si>
    <t>Total 
Weightage</t>
  </si>
  <si>
    <t>QnM Weightage</t>
  </si>
  <si>
    <t>QlM Weightage</t>
  </si>
  <si>
    <t>QnM max score</t>
  </si>
  <si>
    <t>QlM max score</t>
  </si>
  <si>
    <t xml:space="preserve">QnM Score obtained </t>
  </si>
  <si>
    <t>QnM 
CrGP</t>
  </si>
  <si>
    <t>QlM 
CrGP</t>
  </si>
  <si>
    <t>Date of Analysis</t>
  </si>
  <si>
    <t>CrGP Trend</t>
  </si>
  <si>
    <t xml:space="preserve"> Score Trend</t>
  </si>
  <si>
    <t>Total
Weightage</t>
  </si>
  <si>
    <t>DD-MMM-YY</t>
  </si>
  <si>
    <t>Total CrGP</t>
  </si>
  <si>
    <t>Grade:</t>
  </si>
  <si>
    <t xml:space="preserve"> Attainment Trend</t>
  </si>
  <si>
    <t>Gap Trend</t>
  </si>
  <si>
    <t>Criteria-wise QnM, QlM and Total Gap Trend</t>
  </si>
  <si>
    <t>Total max score</t>
  </si>
  <si>
    <t>Projection</t>
  </si>
  <si>
    <t>Overall CrGP</t>
  </si>
  <si>
    <t>Grade</t>
  </si>
  <si>
    <t>1.1.1 The Institution ensures effective curriculum planning and delivery through a well-planned and documented process including Academic calendar and conduct of continuous internal Assessment</t>
  </si>
  <si>
    <t>1.2.1 Number of Add on /Certificate/Value added programs offered and online MOOC programs like SWAYAM, NPTEL etc. where the students of the institution have benefitted during the last five years)</t>
  </si>
  <si>
    <t>1.2.2 Percentage of students enrolled in Certificate/ Add-on/Value added programs and also completed online MOOC programs like SWAYAM, NPTEL etc.as against the total number of students during the last five years</t>
  </si>
  <si>
    <t>1.3.1 Institution integrates crosscutting issues relevant to Professional Ethics, Gender, Human Values, Environment and Sustainability in transacting the Curriculum</t>
  </si>
  <si>
    <t>1.3.2 Percentage of students undertaking project work/field work/ internships (Data for the latest completed academic year)</t>
  </si>
  <si>
    <t>1.4.1 Institution obtains feedback on the academic performance and ambience of the institution from various stakeholders, such as Students, Teachers, Employers, Alumni etc. and action taken report on the feedback is made available on institutional website
Feedback processes of the institution may be classified as follows:
A. Feedback collected, analysed, action taken and feedback hosted on the institutional website
B. Feedback collected, analysed and action has been taken
C. Feedback collected and analysed
D. Feedback collected (at least from any two stakeholders)
E. Feedback not collected</t>
  </si>
  <si>
    <t>TOTAL</t>
  </si>
  <si>
    <t>Number of Metrics</t>
  </si>
  <si>
    <t>AFFILIATED COLLEGE - CRITERIA WISE BREAKUP</t>
  </si>
  <si>
    <t>2.1.1 Enrolment percentage (Average of last five years)</t>
  </si>
  <si>
    <t>2.1.2 Percentage of seats filled against seats reserved for various categories (SC, ST, OBC, etc. as per applicable reservation policy) during the last five years
(Exclusive of supernumerary seats)</t>
  </si>
  <si>
    <t>2.2.1 Student – Full time Teacher Ratio
(Data for the latest completed academic year)</t>
  </si>
  <si>
    <t>2.3.1 Student centric methods, such as experiential learning, participative learning and problem solving methodologies are used for enhancing learning experiences using ICT tools</t>
  </si>
  <si>
    <t>2.4.1 Percentage of full-time teachers against sanctioned posts during the last five years</t>
  </si>
  <si>
    <t>2.4.2 Percentage of full time teachers with NET/SET/SLET/ Ph. D./D.Sc. / D.Litt. during the last five years (consider only highest degree for count)</t>
  </si>
  <si>
    <t>2.5.1 Mechanism of internal/ external assessment is transparent and the grievance redressal system is time- bound and efficient</t>
  </si>
  <si>
    <t>2.6.1 Programme Outcomes (POs) and Course Outcomes (COs) for all Programmes offered by the institution are stated and displayed on website and attainment of POs and COs are evaluated</t>
  </si>
  <si>
    <t>2.6.2 Attainment of POs and COs are evaluated.
Explain with evidence in a maximum of 500 words</t>
  </si>
  <si>
    <t>2.6.3 Pass percentage of Students during last five years</t>
  </si>
  <si>
    <t>2.7.1 Online student satisfaction survey regarding to teaching learning process.
(Online survey to be conducted)</t>
  </si>
  <si>
    <t>3.1.1 Grants received from Government and non-governmental agencies for research projects / endowments in the institution during the last five years (INR in Lakhs)</t>
  </si>
  <si>
    <t>3.2.1 Institution has created an ecosystem for innovations and has initiatives for creation and transfer of knowledge
(patents filed, published, incubation center facilities in the HEI to be considered)</t>
  </si>
  <si>
    <t>3.2.2 Number of workshops/seminars/conferences including on Research Methodology, Intellectual Property Rights (IPR) and entrepreneurship conducted during the last five years</t>
  </si>
  <si>
    <t>3.3.1 Number of research papers published per teacher in the Journals notified on UGC care list during the last five years</t>
  </si>
  <si>
    <t>3.3.2 Number of books and chapters in edited volumes/books published and papers published in national/ international conference proceedings per teacher during last five years</t>
  </si>
  <si>
    <t>3.4.1 Extension activities are carried out in the neighborhood community, sensitizing students to social issues, for their holistic development, and impact thereof during the last five years.</t>
  </si>
  <si>
    <t>3.4.2 Awards and recognitions received for extension activities from government / government recognised bodies</t>
  </si>
  <si>
    <t>3.4.3 Number of extension and outreach programs conducted by the institution through NSS/NCC etc., (including the programmes such as Swachh Bharat, AIDS awareness, Gender issues etc. and/or those organised in collaboration with industry, community and NGOs) during the last five years</t>
  </si>
  <si>
    <t>3.5.1 The number of MoUs, collaborations/linkages for Faculty exchange, Student exchange, Internship, Field project, On-the- job training, research and other academic activities during the last five years</t>
  </si>
  <si>
    <t>4.1.1 Availability of adequate infrastructure and physical facilities viz., classrooms, laboratories, ICT infrastructure, facilities for cultural and sports activities, gymnasium, yoga centre etc. in the institution</t>
  </si>
  <si>
    <t>4.1.2 Percentage of expenditure, excluding salary for infrastructure augmentation during last five years (INR in Lakhs)</t>
  </si>
  <si>
    <t>4.2.1 Library automation using Integrated Library Management System (ILMS), subscription to e-resources including provision of links to OER repositories, amount spent on purchase of books, journals and usage of library</t>
  </si>
  <si>
    <t>4.3.1 Institution frequently updates its IT facilities and provides sufficient bandwidth for internet connection</t>
  </si>
  <si>
    <t>4.3.2 Student – Computer ratio (Data for the latest completed academic year)</t>
  </si>
  <si>
    <t xml:space="preserve">4.4.1 Percentage of expenditure incurred on maintenance of infrastructure (physical and academic support facilities) excluding salary component during the last five years (INR in Lakhs)
</t>
  </si>
  <si>
    <t>5.1.1 Percentage of students benefited by scholarships and freeships provided by the Government and Non-Government agencies and philanthropists during last five years</t>
  </si>
  <si>
    <t>5.1.2 Capacity building and skills enhancement initiatives taken by the institution include the following
1. Soft skills
2. Language and communication skills
3. Life skills (Yoga, physical fitness, health and hygiene)
4. ICT/computing skills
Options:
A. All of the above
B. 3 of the above
C. 2 of the above
D. 1 of the above
E. None of the above</t>
  </si>
  <si>
    <t xml:space="preserve">5.1.3 Percentage of students benefitted by guidance for competitive examinations and career counseling offered by the Institution during the last five years
</t>
  </si>
  <si>
    <t>5.1.4 The Institution has a transparent mechanism for timely redressal of student grievances including sexual harassment and ragging cases
1. Implementation of guidelines of statutory/regulatory bodies
2. Organisation wide awareness and undertakings on policies with zero tolerance
3. Mechanisms for submission of online/offline students’ grievances
4. Timely redressal of the grievances through appropriate committees
Options:
A. All of the above
B. Any 3 of the above
C. Any 2 of the above
D. Any 1 of the above
E. None of the above</t>
  </si>
  <si>
    <t>5.2.1 Percentage of placement of outgoing students and students progressing to higher education during the last five years</t>
  </si>
  <si>
    <t>5.2.2 Percentage of students qualifying in state/national/ international level examinations during the last five years (eg: JAM/CLAT/GATE/ GMAT/ CAT/ GRE/ TOEFL/ Civil Services/State government examinations)</t>
  </si>
  <si>
    <t>5.3.1 Number of awards/medals for outstanding performance in sports/ cultural activities at University / state/ national / international level (award for a team event should be counted as one) during the last five years</t>
  </si>
  <si>
    <t>5.3.2 Average number of sports and cultural programs in which students of the Institution participated during last five years (organised by the institution/other institutions)</t>
  </si>
  <si>
    <t>5.4.1 There is a registered Alumni Association that contributes significantly to the development of the institution through financial and/or other support services</t>
  </si>
  <si>
    <t>6.1.1 The governance and leadership is in accordance with vision and mission of the institution and it is visible in various institutional practices such as decentralization and participation in the institutional governance</t>
  </si>
  <si>
    <t>6.2.1 The functioning of the institutional bodies is effective and efficient as visible from policies, administrative setup, appointment and service rules, procedures, deployment of institutional Strategic/ perspective/development plan etc</t>
  </si>
  <si>
    <t>6.2.2 Implementation of e-governance in areas of operation 1. Administration 2. Finance and Accounts 3. Student Admission and Support 4. Examination
Options: 
A. All of the above 
B. Any 3 of the above 
C. Any 2 of the above 
D. Any 1 of the above 
E. None of the above</t>
  </si>
  <si>
    <t>6.3.1 The institution has effective welfare measures and Performance Appraisal System for teaching and non-teaching staff</t>
  </si>
  <si>
    <t>6.3.2 Percentage of teachers provided with financial support to attend conferences/workshops and towards membership fee of professional bodies during the last five years</t>
  </si>
  <si>
    <t>6.3.3 Percentage of teaching and non-teaching staff participating in Faculty development Programmes (FDP), professional development /administrative training programs during the last five years</t>
  </si>
  <si>
    <t>6.4.1 Institution has strategies for mobilization and optimal utilization of resources and funds from various sources (government/ non-government organizations) and it conducts financial audits regularly (internal and external)</t>
  </si>
  <si>
    <t>6.5.1 Internal Quality Assurance Cell (IQAC) has contributed significantly for institutionalizing the quality assurance strategies and processes. It reviews teaching learning process, structures &amp; methodologies of operations and learning outcomes at periodic intervals and records the incremental improvement in various activities</t>
  </si>
  <si>
    <t>6.5.2 Quality assurance initiatives of the institution include:
1. Regular meeting of Internal Quality Assurance Cell (IQAC); Feedback collected, analysed and used for improvements 2. Collaborative quality initiatives with other institution(s)/ membership of international networks 3. Participation in NIRF 4. any other quality audit/accreditation recognized by state, national or international agencies such as NAAC, NBA etc 
Options: 
A. All of the above 
B. Any 3 of the above 
C. Any 2 of the above 
D. Any 1 of the above 
E. None of the above</t>
  </si>
  <si>
    <t>7.1.1 Measures initiated by the Institution for the promotion of gender equity and Institutional initiatives to celebrate / organize national and international commemorative days, events and festivals during the last five years (Within 500 words)</t>
  </si>
  <si>
    <t>7.1.2 The Institution has facilities and initiatives for
1. Alternate sources of energy and energy conservation measures
2. Management of the various types of degradable and non-degradable waste
3. Water conservation
4. Green campus initiatives
5. Disabled-friendly, barrier free environment
Options:
A. 4 or All of the above
B. 3 of the above
C. 2 of the above
D.1of the above
E. None of the above</t>
  </si>
  <si>
    <t>7.1.3 Quality audits on environment and energy regularly undertaken by the Institution.
The institutional environment and energy initiatives are confirmed through the following
1. Green audit / Environment audit
2. Energy audit
3. Clean and green campus initiatives
4. Beyond the campus environmental promotion and sustainability activities
Options:
A. All of the above
B. Any 3 of the above
C. Any 2 of the above
D. Any 1 of the above
E. None of the above</t>
  </si>
  <si>
    <t>7.1.4 Describe the Institutional efforts/initiatives in providing an inclusive environment i.e., tolerance and harmony towards cultural, regional, linguistic, communal socioeconomic diversity and Sensitization of students and employees to the constitutional obligations: values, rights, duties and responsibilities of citizens
(Within 500 words)</t>
  </si>
  <si>
    <t>7.2.1  Describe two best practices successfully implemented by the Institution as per NAAC format provided in the Manual</t>
  </si>
  <si>
    <t>7.3.1 Portray the performance of the Institution in one area distinctive to its priority and thrust within 1000 words</t>
  </si>
  <si>
    <t>Attainment</t>
  </si>
  <si>
    <t>Score</t>
  </si>
  <si>
    <t>QnM Attainment/Score</t>
  </si>
  <si>
    <t>QlM Attainment/Score</t>
  </si>
  <si>
    <t>Total Attainment/Score</t>
  </si>
  <si>
    <t xml:space="preserve">Grade: </t>
  </si>
  <si>
    <t>S. No</t>
  </si>
  <si>
    <t>MARK</t>
  </si>
  <si>
    <t>CHANGE</t>
  </si>
  <si>
    <t>E - D</t>
  </si>
  <si>
    <t>Criterion I - Curricular Aspects</t>
  </si>
  <si>
    <t>Criterion II - Teaching-learning and Evaluation</t>
  </si>
  <si>
    <t>Criterion III - Research, Innovations and Extension</t>
  </si>
  <si>
    <t>Criterion IV - Infrastructure and Learning Resources</t>
  </si>
  <si>
    <t>Criterion V - Student Support and Progression</t>
  </si>
  <si>
    <t>Criterion VI - Governance, Leadership and Management</t>
  </si>
  <si>
    <t>Criterion VII - Institutional Values and Best Practices</t>
  </si>
  <si>
    <t>S No</t>
  </si>
  <si>
    <t>Overall Score 
(QnM + QlM)</t>
  </si>
  <si>
    <r>
      <t>Overall 
C</t>
    </r>
    <r>
      <rPr>
        <b/>
        <vertAlign val="subscript"/>
        <sz val="11"/>
        <color rgb="FF000000"/>
        <rFont val="Calibri"/>
        <family val="2"/>
      </rPr>
      <t>r</t>
    </r>
    <r>
      <rPr>
        <b/>
        <sz val="11"/>
        <color rgb="FF000000"/>
        <rFont val="Calibri"/>
        <family val="2"/>
      </rPr>
      <t>GP</t>
    </r>
  </si>
  <si>
    <t>Overall 
Gap</t>
  </si>
  <si>
    <t>QnM Attainment</t>
  </si>
  <si>
    <t>QlM Attainment</t>
  </si>
  <si>
    <t>Overall Attainment</t>
  </si>
  <si>
    <t>Overall Grade</t>
  </si>
  <si>
    <t>Report on tentative scoring and gap analysis</t>
  </si>
  <si>
    <t>3.2.1Institution has created an ecosystem for innovations, Indian Knowledge System (IKS),including awareness   about IPR, establishment of IPR cell, Incubation centre and other initiatives for the creation and transfer of knowledge/technology and the outcomes of the same are evident</t>
  </si>
  <si>
    <t>3.4.1 Outcomes of Extension activities in the neighborhood community in terms of impact and sensitizing the students to social issues for their holistic development during the last five years.</t>
  </si>
  <si>
    <t>3.5.1 Number of functional MoUs/linkages with institutions/ industries in India and abroad for internship, on-the-job training, project work, student / faculty exchange and collaborative research  during the last five years</t>
  </si>
  <si>
    <t>4.1.1 The Institution has adequate infrastructure and other facilities for
a.      teaching – learning, viz., classrooms, laboratories, computing equipment etc
b.      ICT – enabled facilities such as smart class, LMS etc.
Facilities for Cultural and sports activities, yoga centre, games (indoor and outdoor), Gymnasium, auditorium etc</t>
  </si>
  <si>
    <t>4.2.1 Library is automated with digital facilities using Integrated Library Management System (ILMS), adequate subscriptions to e-resources and journals are made.  The library is optimally used by the faculty and students</t>
  </si>
  <si>
    <t xml:space="preserve">4.4.1 Percentage expenditure incurred on maintenance of physical facilities and academic support facilities excluding salary component, during the last five years (INR in Lakhs)
</t>
  </si>
  <si>
    <t xml:space="preserve">6.1.1 The institutional governance and leadership are in accordance with the vision and mission of the Institution and it is visible in various institutional practices such as NEP implementation, sustained institutional growth, decentralization, participation in the institutional governance and in their short term and long term Institutional Perspective Plan. </t>
  </si>
  <si>
    <t>6.2.1 The institutional perspective plan is effectively deployed and functioning of the institutional bodies is effective and efficient as visible from policies, administrative setup, appointment, service rules, and procedures, etc.</t>
  </si>
  <si>
    <t>6.5.2 Quality assurance initiatives of the institution include:
1. Regular meeting of Internal Quality Assurance Cell (IQAC); quality improvement initiatives identified and implemented
2. Academic and Administrative Audit (AAA) and follow-up action taken
3. Collaborative quality initiatives with other institution(s)
4. Participation in NIRF and other recognized rankings
5. Any other quality audit/accreditation recognized by state, national or international agencies such as NAAC, NBA etc.
Options: 
A. Any 4 or more of the above
B. Any 3 of the above 
C. Any 2 of the above 
D. Any 1 of the above 
E. None of the above</t>
  </si>
  <si>
    <t>7.1.1 nstitution has initiated the Gender Audit and measures for the promotion of gender equity during the last five years.</t>
  </si>
  <si>
    <t>Affiliated College - INTERNATIONAL SCHOOL OF MANAGEMENT EXCELLENCE (ISME)</t>
  </si>
  <si>
    <t>Comparative Gap Analysis of 34 QnM Metrics and 22 QlM essays for  INTERNATIONAL SCHOOL OF MANAGEMENT EXCELLENCE (ISME)</t>
  </si>
  <si>
    <t>D</t>
  </si>
  <si>
    <t>A</t>
  </si>
  <si>
    <t>2.6.2 as per data sheet</t>
  </si>
  <si>
    <t>No. of research papers published (12) / Total no of teachers (74)</t>
  </si>
  <si>
    <t xml:space="preserve">
3. Clean and green campus initiatives
4. Beyond the campus environmental promotion and sustainability activities</t>
  </si>
  <si>
    <t>B</t>
  </si>
  <si>
    <t>1. Implementation of guidelines of statutory/regulatory bodies
2. Organisation wide awareness and undertakings on policies with zero tolerance
3. Mechanisms for submission of online/offline students’ grievances
4. Timely redressal of the grievances through appropriate committees</t>
  </si>
  <si>
    <r>
      <t xml:space="preserve">Students, </t>
    </r>
    <r>
      <rPr>
        <sz val="12"/>
        <color rgb="FFFF0000"/>
        <rFont val="Times New Roman"/>
        <family val="1"/>
      </rPr>
      <t>Teachers</t>
    </r>
    <r>
      <rPr>
        <sz val="12"/>
        <color theme="1"/>
        <rFont val="Times New Roman"/>
        <family val="1"/>
      </rPr>
      <t xml:space="preserve"> etc. and action taken report on the feedback is made available on institutional website.
</t>
    </r>
    <r>
      <rPr>
        <sz val="12"/>
        <color rgb="FFFF0000"/>
        <rFont val="Times New Roman"/>
        <family val="1"/>
      </rPr>
      <t xml:space="preserve">
Clarify the remark. If feedback is analysed and action taken report is available on website, then it should be A</t>
    </r>
  </si>
  <si>
    <t>Affiliated College -  INTERNATIONAL SCHOOL OF MANAGEMENT EXCELLENCE (ISME)
Overall tentative scoring and gap analysis of 34 QnM and 22 QlM as on 7-Mar-2024</t>
  </si>
  <si>
    <t>1. Data is missing or incorrectly computed for many metrics. The remarks have been higlighted in red on the master sheet. Raw data needs to be verified and validated from DVV angle</t>
  </si>
  <si>
    <t>2. Need to verify the accuracy of extended profile values</t>
  </si>
  <si>
    <t>3. Based on the provided data, QnM attainment is 53% with a score of 2.13/4 and Grade B</t>
  </si>
  <si>
    <t xml:space="preserve">4. There is tremendous scope for improvement </t>
  </si>
  <si>
    <t>5. If the goal is to get atleast an A-Grade, then all criteria except VI and VII are weak and need close monitoring.</t>
  </si>
  <si>
    <t>6. The order of weak criteria (weakest first) is V, IV, III, II and I</t>
  </si>
  <si>
    <t>1. During my meeting on 8th Mar 2024, I expect all criteria champions to be ready to respond to my queries. This can be organized during the morning session (say 11am-1:30pm)</t>
  </si>
  <si>
    <t>2. During the afternoon session, I will review the QlM essays already written by IQAC of ISME</t>
  </si>
  <si>
    <t>3. I will explain the proper process and protocol to be followed in a scientific approach for writing the QlM essays</t>
  </si>
  <si>
    <t>Look forward to interacting with the team on 8th Mar 2024</t>
  </si>
  <si>
    <t>4 - &gt;80%; 3 - 60% - 80%; Put provisionally admitted</t>
  </si>
  <si>
    <t>4 - &gt;80%; 3 - 60% - 80%; Need to create the policy</t>
  </si>
  <si>
    <t>.=40 - 4 points</t>
  </si>
  <si>
    <t>&gt;=40 - 4 points</t>
  </si>
  <si>
    <t>.=20 - 4 points</t>
  </si>
  <si>
    <t>Benchmark &gt;=25%</t>
  </si>
  <si>
    <t>&lt;=5:1</t>
  </si>
  <si>
    <t xml:space="preserve">Benefited students (each year once) / No. of Graduating students per year
</t>
  </si>
  <si>
    <t>&gt;=60% - 4</t>
  </si>
  <si>
    <t>&gt;=10% - 4</t>
  </si>
  <si>
    <t>Try to make it 5 to get atleast 1 mark - 5-10  - 1</t>
  </si>
  <si>
    <r>
      <t xml:space="preserve">Need to include events by the instituion 5-10 
</t>
    </r>
    <r>
      <rPr>
        <sz val="12"/>
        <color rgb="FFFF0000"/>
        <rFont val="Times New Roman"/>
        <family val="1"/>
      </rPr>
      <t>Try to make it 5 to get atleast 1 mark</t>
    </r>
  </si>
  <si>
    <t>Ave of year wise (Unique no of teachers receiving assitance /no. of teachers in that year) - should be greater than &gt;=50%</t>
  </si>
  <si>
    <t>1. Alternate sources of energy and energy conservation measures
3. Water conservation
4. Green campus initiatives
5. Disabled-friendly, barrier free environment - Helpful to create a 2 min video</t>
  </si>
  <si>
    <t>Formulae</t>
  </si>
  <si>
    <t>Benchmark</t>
  </si>
  <si>
    <t>Count</t>
  </si>
  <si>
    <t>&gt;=25 - 4 points</t>
  </si>
  <si>
    <t xml:space="preserve">Total Expenditure for infrastructure 
augmentation, excluding salary  
Percentage = ---------------------------------------------- X 100 
Total Expenditure excluding salary 
</t>
  </si>
  <si>
    <t>.=25% - 4 points</t>
  </si>
  <si>
    <t>&gt;=50 - 4 points</t>
  </si>
  <si>
    <t xml:space="preserve"> percentage = Number of students undertaking project work/field work / internshipsTotal numberof students during the latest completed academic year×100 </t>
  </si>
  <si>
    <t>&gt;=30 % - 4 points</t>
  </si>
  <si>
    <t xml:space="preserve">percentage = Total number of students admitted during last five years
Total number of sanctioned seats during last five years ×100 
</t>
  </si>
  <si>
    <t>&gt;=80 - 4 points</t>
  </si>
  <si>
    <t xml:space="preserve">percentage = Total number of actual students admitted from the reserved categories during last five years Total number of seats earmarked for reserved category as per GOI/State Govt ruleduring last five years ×100 </t>
  </si>
  <si>
    <t>&lt;20:1 - 4 points</t>
  </si>
  <si>
    <t xml:space="preserve">Formula: Students: Full time teacher </t>
  </si>
  <si>
    <t xml:space="preserve">Percentage = Total number of full time teachers year wise during the last five years Total number of Sanctioned posts/required positions for full time teachers×100 </t>
  </si>
  <si>
    <t xml:space="preserve">Total number of full time teachers with such qualifications during last five yearsTotal number of full time teachers year wise during last five years×100 </t>
  </si>
  <si>
    <t xml:space="preserve">percentage = Total number of final year students who passed the university examinationTotal number of final year students who appeared for the university examination×100 </t>
  </si>
  <si>
    <t xml:space="preserve">Total Grants from Government and non-governmental agencies for research projects / endowments in the institution during the last five years (INR in Lakhs)
</t>
  </si>
  <si>
    <t>Number</t>
  </si>
  <si>
    <t xml:space="preserve">Formula =  Students: Computers </t>
  </si>
  <si>
    <t xml:space="preserve">Percentage = Total expenditure incurred on maintenance of infrastructure excluding salary during the last five years
_________________________________________________×100 
Total expenditure excluding salary during the last five years
</t>
  </si>
  <si>
    <t xml:space="preserve">Percentage = Total number of students benefited by scholarships and freeships provided by Government and Non−Government agencies and philanthropists
____________________________________________×100 
Total number of students during the last five years
</t>
  </si>
  <si>
    <t xml:space="preserve">Percentage = Total number of students benefited by guidance for competitive examinations and career counseling during the last five years
____________________________________________×100 
Total number of students during the last five years
</t>
  </si>
  <si>
    <t xml:space="preserve">Percentage = Total number of outgoing students placed and / or progressed to higher education during the last five years ____________________________________________×100 
Total number of students during the last five years
</t>
  </si>
  <si>
    <t xml:space="preserve">Percentage = Total number of students qualified in such examinations during the last five years
____________________________________________×100 
Total number of outgoing students (5.2.1.2) –
Total number of outgoing students placed,
Progressed to higher education
During the last five years (5.2.1.1) 
</t>
  </si>
  <si>
    <t>Avarage number</t>
  </si>
  <si>
    <t xml:space="preserve">Percentage = Total number of teachers provided with financial support during the last five years/
Total number of full time teachers year wise during the last five years * 100
</t>
  </si>
  <si>
    <t xml:space="preserve">Percentage = Total number of teaching and non teaching staff participating in FDPs, professional development Programmes during the last five years  
______________________________________________________x100
Total number of full time teachers year wise during the last five years + total number of non teaching staff during the last five years 
</t>
  </si>
  <si>
    <t xml:space="preserve">percentage =  Total number of students enrolled in such programs during the last five years/Total number of students during the last five years×100 </t>
  </si>
  <si>
    <t>&gt; 15 lakhs - 4; 1-5: 1 mark</t>
  </si>
  <si>
    <t xml:space="preserve"> </t>
  </si>
  <si>
    <t>&gt;=30 - 4 points</t>
  </si>
  <si>
    <t xml:space="preserve">&gt;=40% - 4 points
</t>
  </si>
  <si>
    <t xml:space="preserve">Benchmark &gt; 50%. Every year more than 50% of the students have taken one of the program Every year student should have been counted max once per year. </t>
  </si>
  <si>
    <t>Programs should be of 5 days</t>
  </si>
  <si>
    <t>&gt;=50%- 4 points</t>
  </si>
  <si>
    <t>.0-3: 1 point</t>
  </si>
  <si>
    <t>No.(45) / Total no of teachers (70)</t>
  </si>
  <si>
    <t>.=70% - 4 points</t>
  </si>
  <si>
    <t>.-75% - 4 points</t>
  </si>
  <si>
    <t>.-75% - 4 points; 60%-75% - 3 points</t>
  </si>
  <si>
    <r>
      <t xml:space="preserve">Internal Survey of 111 students done
</t>
    </r>
    <r>
      <rPr>
        <sz val="12"/>
        <color rgb="FFFF0000"/>
        <rFont val="Times New Roman"/>
        <family val="1"/>
      </rPr>
      <t>Assumed as 3 for now</t>
    </r>
  </si>
  <si>
    <t>&gt;=60% - 4. Have considered denominator as total number of graduates in the last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</si>
</sst>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d\-mmm\-yy;@"/>
    <numFmt numFmtId="165" formatCode="[$-409]d\-mmm\-yy;@"/>
    <numFmt numFmtId="166" formatCode="0.0"/>
    <numFmt numFmtId="167" formatCode="0.0%"/>
  </numFmts>
  <fonts count="29" x14ac:knownFonts="1">
    <font>
      <sz val="11"/>
      <color theme="1"/>
      <name val="Calibri"/>
      <family val="2"/>
      <scheme val="minor"/>
    </font>
    <font>
      <b/>
      <sz val="12"/>
      <color theme="1"/>
      <name val="Times New Roman"/>
      <family val="1"/>
    </font>
    <font>
      <sz val="12"/>
      <color theme="1"/>
      <name val="Times New Roman"/>
      <family val="1"/>
    </font>
    <font>
      <sz val="12"/>
      <color rgb="FF000000"/>
      <name val="Times New Roman"/>
      <family val="1"/>
    </font>
    <font>
      <b/>
      <i/>
      <sz val="12"/>
      <color theme="1"/>
      <name val="Times New Roman"/>
      <family val="1"/>
    </font>
    <font>
      <b/>
      <sz val="16"/>
      <color theme="1"/>
      <name val="Times New Roman"/>
      <family val="1"/>
    </font>
    <font>
      <sz val="11"/>
      <color rgb="FFFF0000"/>
      <name val="Calibri"/>
      <family val="2"/>
      <scheme val="minor"/>
    </font>
    <font>
      <b/>
      <sz val="11"/>
      <color theme="1"/>
      <name val="Calibri"/>
      <family val="2"/>
      <scheme val="minor"/>
    </font>
    <font>
      <sz val="11"/>
      <color rgb="FF000000"/>
      <name val="Calibri"/>
      <family val="2"/>
    </font>
    <font>
      <b/>
      <sz val="11"/>
      <color rgb="FF000000"/>
      <name val="Calibri"/>
      <family val="2"/>
    </font>
    <font>
      <b/>
      <vertAlign val="subscript"/>
      <sz val="11"/>
      <color rgb="FF000000"/>
      <name val="Calibri"/>
      <family val="2"/>
    </font>
    <font>
      <sz val="11"/>
      <color rgb="FFFF0000"/>
      <name val="Calibri"/>
      <family val="2"/>
    </font>
    <font>
      <b/>
      <sz val="11"/>
      <color rgb="FFFF0000"/>
      <name val="Calibri"/>
      <family val="2"/>
    </font>
    <font>
      <b/>
      <sz val="14"/>
      <color theme="0"/>
      <name val="Calibri"/>
      <family val="2"/>
    </font>
    <font>
      <b/>
      <u/>
      <sz val="11"/>
      <color theme="1"/>
      <name val="Calibri"/>
      <family val="2"/>
      <scheme val="minor"/>
    </font>
    <font>
      <b/>
      <u/>
      <sz val="11"/>
      <color rgb="FF000000"/>
      <name val="Calibri"/>
      <family val="2"/>
    </font>
    <font>
      <sz val="11"/>
      <color theme="1"/>
      <name val="Calibri"/>
      <family val="2"/>
      <scheme val="minor"/>
    </font>
    <font>
      <b/>
      <sz val="11"/>
      <name val="Calibri"/>
      <family val="2"/>
    </font>
    <font>
      <b/>
      <sz val="10"/>
      <color rgb="FF000000"/>
      <name val="Calibri"/>
      <family val="2"/>
    </font>
    <font>
      <b/>
      <sz val="8"/>
      <color rgb="FF000000"/>
      <name val="Calibri"/>
      <family val="2"/>
    </font>
    <font>
      <sz val="11"/>
      <name val="Calibri"/>
      <family val="2"/>
    </font>
    <font>
      <sz val="12"/>
      <name val="Times New Roman"/>
      <family val="1"/>
    </font>
    <font>
      <sz val="12"/>
      <color theme="9" tint="-0.499984740745262"/>
      <name val="Times New Roman"/>
      <family val="1"/>
    </font>
    <font>
      <b/>
      <sz val="10"/>
      <color rgb="FFFF0000"/>
      <name val="Calibri"/>
      <family val="2"/>
    </font>
    <font>
      <b/>
      <sz val="8"/>
      <color theme="1"/>
      <name val="Calibri"/>
      <family val="2"/>
      <scheme val="minor"/>
    </font>
    <font>
      <b/>
      <sz val="11"/>
      <color rgb="FF00B050"/>
      <name val="Calibri"/>
      <family val="2"/>
      <scheme val="minor"/>
    </font>
    <font>
      <b/>
      <sz val="11"/>
      <color rgb="FF00B050"/>
      <name val="Calibri"/>
      <family val="2"/>
    </font>
    <font>
      <sz val="12"/>
      <color rgb="FFFF0000"/>
      <name val="Times New Roman"/>
      <family val="1"/>
    </font>
    <font>
      <sz val="12"/>
      <color rgb="FF00000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FF00"/>
        <bgColor rgb="FFFFFF00"/>
      </patternFill>
    </fill>
    <fill>
      <patternFill patternType="solid">
        <fgColor rgb="FFF4B083"/>
        <bgColor rgb="FFF4B083"/>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0B0F0"/>
        <bgColor rgb="FF00B0F0"/>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s>
  <cellStyleXfs count="4">
    <xf numFmtId="0" fontId="0" fillId="0" borderId="0"/>
    <xf numFmtId="0" fontId="8" fillId="0" borderId="0"/>
    <xf numFmtId="0" fontId="8" fillId="0" borderId="0"/>
    <xf numFmtId="9" fontId="16" fillId="0" borderId="0" applyFont="0" applyFill="0" applyBorder="0" applyAlignment="0" applyProtection="0"/>
  </cellStyleXfs>
  <cellXfs count="173">
    <xf numFmtId="0" fontId="0" fillId="0" borderId="0" xfId="0"/>
    <xf numFmtId="0" fontId="2" fillId="0" borderId="1" xfId="0" applyFont="1" applyBorder="1" applyAlignment="1">
      <alignment wrapText="1"/>
    </xf>
    <xf numFmtId="0" fontId="2" fillId="0" borderId="0" xfId="0" applyFont="1" applyAlignment="1">
      <alignment wrapText="1"/>
    </xf>
    <xf numFmtId="0" fontId="2" fillId="0" borderId="0" xfId="0" applyFont="1" applyAlignment="1">
      <alignment horizontal="center" vertical="center" wrapText="1"/>
    </xf>
    <xf numFmtId="0" fontId="2" fillId="0" borderId="1" xfId="0" applyFont="1" applyBorder="1" applyAlignment="1">
      <alignment horizontal="left" wrapText="1"/>
    </xf>
    <xf numFmtId="0" fontId="2" fillId="0" borderId="2" xfId="0" applyFont="1" applyBorder="1" applyAlignment="1">
      <alignment horizontal="center" vertical="center" wrapText="1"/>
    </xf>
    <xf numFmtId="0" fontId="2" fillId="0" borderId="0" xfId="0" applyFont="1" applyAlignment="1">
      <alignment horizont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vertical="center" wrapText="1"/>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5" xfId="1" applyFont="1" applyBorder="1" applyAlignment="1">
      <alignment horizontal="center" vertical="center"/>
    </xf>
    <xf numFmtId="0" fontId="8" fillId="0" borderId="7" xfId="1" applyBorder="1"/>
    <xf numFmtId="0" fontId="8" fillId="0" borderId="1" xfId="1" applyBorder="1"/>
    <xf numFmtId="1" fontId="8" fillId="0" borderId="1" xfId="1" applyNumberFormat="1" applyBorder="1"/>
    <xf numFmtId="0" fontId="8" fillId="0" borderId="5" xfId="1" applyBorder="1"/>
    <xf numFmtId="1" fontId="8" fillId="0" borderId="5" xfId="1" applyNumberFormat="1" applyBorder="1"/>
    <xf numFmtId="2" fontId="8" fillId="2" borderId="6" xfId="1" applyNumberFormat="1" applyFill="1" applyBorder="1"/>
    <xf numFmtId="0" fontId="8" fillId="0" borderId="8" xfId="1" applyBorder="1"/>
    <xf numFmtId="0" fontId="8" fillId="0" borderId="2" xfId="1" applyBorder="1"/>
    <xf numFmtId="0" fontId="11" fillId="0" borderId="1" xfId="1" applyFont="1" applyBorder="1"/>
    <xf numFmtId="0" fontId="12" fillId="0" borderId="1" xfId="1" applyFont="1" applyBorder="1"/>
    <xf numFmtId="1" fontId="12" fillId="0" borderId="1" xfId="1" applyNumberFormat="1" applyFont="1" applyBorder="1"/>
    <xf numFmtId="2" fontId="12" fillId="0" borderId="1" xfId="1" applyNumberFormat="1" applyFont="1" applyBorder="1"/>
    <xf numFmtId="0" fontId="6" fillId="0" borderId="0" xfId="0" applyFont="1"/>
    <xf numFmtId="2" fontId="7" fillId="0" borderId="0" xfId="0" applyNumberFormat="1" applyFont="1"/>
    <xf numFmtId="0" fontId="0" fillId="0" borderId="0" xfId="0" applyAlignment="1">
      <alignment wrapText="1"/>
    </xf>
    <xf numFmtId="0" fontId="2" fillId="3" borderId="1" xfId="0" applyFont="1" applyFill="1" applyBorder="1" applyAlignment="1">
      <alignment horizontal="center" vertical="center"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4" fillId="0" borderId="1" xfId="0" applyFont="1" applyBorder="1" applyAlignment="1">
      <alignment horizontal="center" wrapText="1"/>
    </xf>
    <xf numFmtId="2" fontId="1" fillId="3" borderId="1" xfId="0" applyNumberFormat="1"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14" fillId="0" borderId="0" xfId="0" applyFont="1"/>
    <xf numFmtId="1" fontId="0" fillId="0" borderId="0" xfId="0" applyNumberFormat="1"/>
    <xf numFmtId="0" fontId="15" fillId="0" borderId="0" xfId="0" applyFont="1"/>
    <xf numFmtId="0" fontId="8" fillId="0" borderId="0" xfId="0" applyFont="1" applyAlignment="1">
      <alignment horizontal="left" indent="2"/>
    </xf>
    <xf numFmtId="0" fontId="9" fillId="6" borderId="0" xfId="0" applyFont="1" applyFill="1" applyAlignment="1">
      <alignment vertical="center"/>
    </xf>
    <xf numFmtId="0" fontId="9" fillId="6" borderId="1" xfId="0" applyFont="1" applyFill="1" applyBorder="1" applyAlignment="1">
      <alignment horizontal="center" vertical="center"/>
    </xf>
    <xf numFmtId="164" fontId="0" fillId="0" borderId="1" xfId="0" applyNumberFormat="1" applyBorder="1"/>
    <xf numFmtId="0" fontId="8" fillId="0" borderId="1" xfId="0" applyFont="1" applyBorder="1"/>
    <xf numFmtId="0" fontId="9" fillId="0" borderId="1" xfId="0" applyFont="1" applyBorder="1" applyAlignment="1">
      <alignment horizontal="center" vertical="center" wrapText="1"/>
    </xf>
    <xf numFmtId="0" fontId="0" fillId="8" borderId="1" xfId="0" applyFill="1" applyBorder="1"/>
    <xf numFmtId="0" fontId="9" fillId="0" borderId="1" xfId="0" applyFont="1" applyBorder="1" applyAlignment="1">
      <alignment horizontal="center" wrapText="1"/>
    </xf>
    <xf numFmtId="0" fontId="18" fillId="0" borderId="1" xfId="0" applyFont="1" applyBorder="1" applyAlignment="1">
      <alignment horizontal="center" vertical="center" wrapText="1"/>
    </xf>
    <xf numFmtId="15" fontId="19" fillId="0" borderId="1" xfId="0" applyNumberFormat="1" applyFont="1" applyBorder="1" applyAlignment="1">
      <alignment horizontal="center" vertical="center" wrapText="1"/>
    </xf>
    <xf numFmtId="0" fontId="0" fillId="10" borderId="1" xfId="0" applyFill="1" applyBorder="1"/>
    <xf numFmtId="2" fontId="0" fillId="10" borderId="1" xfId="0" applyNumberFormat="1" applyFill="1" applyBorder="1"/>
    <xf numFmtId="0" fontId="9" fillId="0" borderId="1" xfId="0" applyFont="1" applyBorder="1"/>
    <xf numFmtId="0" fontId="12" fillId="0" borderId="1" xfId="0" applyFont="1" applyBorder="1" applyAlignment="1">
      <alignment horizontal="center"/>
    </xf>
    <xf numFmtId="0" fontId="12" fillId="10" borderId="1" xfId="0" applyFont="1" applyFill="1" applyBorder="1"/>
    <xf numFmtId="2" fontId="12" fillId="10" borderId="1" xfId="0" applyNumberFormat="1" applyFont="1" applyFill="1" applyBorder="1"/>
    <xf numFmtId="0" fontId="0" fillId="11" borderId="5" xfId="0" applyFill="1" applyBorder="1"/>
    <xf numFmtId="0" fontId="0" fillId="11" borderId="10" xfId="0" applyFill="1" applyBorder="1"/>
    <xf numFmtId="0" fontId="20" fillId="0" borderId="1" xfId="0" applyFont="1" applyBorder="1"/>
    <xf numFmtId="9" fontId="9" fillId="10" borderId="1" xfId="3" applyFont="1" applyFill="1" applyBorder="1"/>
    <xf numFmtId="9" fontId="9" fillId="10" borderId="1" xfId="3" applyFont="1" applyFill="1" applyBorder="1" applyAlignment="1">
      <alignment horizontal="center" vertical="center"/>
    </xf>
    <xf numFmtId="2" fontId="0" fillId="0" borderId="1" xfId="0" applyNumberFormat="1" applyBorder="1"/>
    <xf numFmtId="1" fontId="0" fillId="0" borderId="1" xfId="0" applyNumberFormat="1" applyBorder="1"/>
    <xf numFmtId="0" fontId="9" fillId="6" borderId="12" xfId="0" applyFont="1" applyFill="1" applyBorder="1" applyAlignment="1">
      <alignment vertical="center"/>
    </xf>
    <xf numFmtId="2" fontId="8" fillId="0" borderId="5" xfId="1" applyNumberFormat="1" applyBorder="1"/>
    <xf numFmtId="2" fontId="12" fillId="0" borderId="5" xfId="1" applyNumberFormat="1" applyFont="1" applyBorder="1"/>
    <xf numFmtId="1" fontId="0" fillId="10" borderId="1" xfId="0" applyNumberFormat="1" applyFill="1" applyBorder="1"/>
    <xf numFmtId="1" fontId="12" fillId="10" borderId="1" xfId="0" applyNumberFormat="1" applyFont="1" applyFill="1" applyBorder="1"/>
    <xf numFmtId="0" fontId="9" fillId="0" borderId="6" xfId="1" applyFont="1" applyBorder="1" applyAlignment="1">
      <alignment horizontal="center" vertical="center" wrapText="1"/>
    </xf>
    <xf numFmtId="0" fontId="0" fillId="12" borderId="1" xfId="0" applyFill="1" applyBorder="1"/>
    <xf numFmtId="2" fontId="0" fillId="12" borderId="1" xfId="0" applyNumberFormat="1" applyFill="1" applyBorder="1"/>
    <xf numFmtId="1" fontId="0" fillId="12" borderId="1" xfId="0" applyNumberFormat="1" applyFill="1" applyBorder="1"/>
    <xf numFmtId="1" fontId="12" fillId="12" borderId="1" xfId="0" applyNumberFormat="1" applyFont="1" applyFill="1" applyBorder="1"/>
    <xf numFmtId="2" fontId="12" fillId="12" borderId="1" xfId="0" applyNumberFormat="1" applyFont="1" applyFill="1" applyBorder="1"/>
    <xf numFmtId="0" fontId="12" fillId="12" borderId="1" xfId="0" applyFont="1" applyFill="1" applyBorder="1"/>
    <xf numFmtId="9" fontId="9" fillId="12" borderId="1" xfId="3" applyFont="1" applyFill="1" applyBorder="1"/>
    <xf numFmtId="9" fontId="9" fillId="12" borderId="1" xfId="3" applyFont="1" applyFill="1" applyBorder="1" applyAlignment="1">
      <alignment horizontal="center" vertical="center"/>
    </xf>
    <xf numFmtId="164" fontId="0" fillId="0" borderId="0" xfId="0" applyNumberFormat="1"/>
    <xf numFmtId="165" fontId="0" fillId="0" borderId="1" xfId="0" applyNumberFormat="1" applyBorder="1" applyAlignment="1">
      <alignment horizontal="right"/>
    </xf>
    <xf numFmtId="9" fontId="0" fillId="0" borderId="1" xfId="3" applyFont="1" applyBorder="1"/>
    <xf numFmtId="2" fontId="0" fillId="0" borderId="0" xfId="0" applyNumberFormat="1"/>
    <xf numFmtId="0" fontId="17" fillId="0" borderId="1" xfId="0" applyFont="1" applyBorder="1"/>
    <xf numFmtId="0" fontId="1" fillId="13" borderId="1" xfId="0" applyFont="1" applyFill="1" applyBorder="1" applyAlignment="1">
      <alignment horizontal="center" vertical="center" wrapText="1"/>
    </xf>
    <xf numFmtId="166" fontId="8" fillId="0" borderId="1" xfId="1" applyNumberFormat="1" applyBorder="1"/>
    <xf numFmtId="166" fontId="8" fillId="0" borderId="5" xfId="1" applyNumberFormat="1" applyBorder="1"/>
    <xf numFmtId="9" fontId="7" fillId="0" borderId="0" xfId="3" applyFont="1" applyAlignment="1">
      <alignment wrapText="1"/>
    </xf>
    <xf numFmtId="2" fontId="7" fillId="0" borderId="0" xfId="0" applyNumberFormat="1" applyFont="1" applyAlignment="1">
      <alignment wrapText="1"/>
    </xf>
    <xf numFmtId="0" fontId="9" fillId="14" borderId="9" xfId="0" applyFont="1" applyFill="1" applyBorder="1" applyAlignment="1">
      <alignment horizontal="center"/>
    </xf>
    <xf numFmtId="2" fontId="9" fillId="14" borderId="9" xfId="0" applyNumberFormat="1" applyFont="1" applyFill="1" applyBorder="1" applyAlignment="1">
      <alignment horizontal="center"/>
    </xf>
    <xf numFmtId="9" fontId="9" fillId="0" borderId="4" xfId="3" applyFont="1" applyBorder="1"/>
    <xf numFmtId="9" fontId="12" fillId="0" borderId="4" xfId="3" applyFont="1" applyBorder="1"/>
    <xf numFmtId="2" fontId="9" fillId="0" borderId="4" xfId="0" applyNumberFormat="1" applyFont="1" applyBorder="1"/>
    <xf numFmtId="9" fontId="12" fillId="0" borderId="1" xfId="3" applyFont="1" applyBorder="1"/>
    <xf numFmtId="2" fontId="9" fillId="0" borderId="1" xfId="0" applyNumberFormat="1" applyFont="1" applyBorder="1"/>
    <xf numFmtId="0" fontId="1" fillId="13" borderId="4" xfId="0" applyFont="1" applyFill="1" applyBorder="1" applyAlignment="1">
      <alignment horizontal="center" vertical="center" wrapText="1"/>
    </xf>
    <xf numFmtId="15" fontId="7" fillId="0" borderId="0" xfId="0" applyNumberFormat="1" applyFont="1" applyAlignment="1">
      <alignment horizontal="center" vertical="center"/>
    </xf>
    <xf numFmtId="0" fontId="2" fillId="0" borderId="2" xfId="0" applyFont="1" applyBorder="1" applyAlignment="1">
      <alignment horizontal="left" vertical="top" wrapText="1"/>
    </xf>
    <xf numFmtId="0" fontId="22" fillId="0" borderId="1" xfId="0" applyFont="1" applyBorder="1" applyAlignment="1">
      <alignment horizontal="center" vertical="center" wrapText="1"/>
    </xf>
    <xf numFmtId="0" fontId="22" fillId="0" borderId="1" xfId="0" applyFont="1" applyBorder="1" applyAlignment="1">
      <alignment wrapText="1"/>
    </xf>
    <xf numFmtId="0" fontId="22" fillId="0" borderId="1" xfId="0" applyFont="1" applyBorder="1" applyAlignment="1">
      <alignment horizontal="center" wrapText="1"/>
    </xf>
    <xf numFmtId="0" fontId="9" fillId="16" borderId="1" xfId="0" applyFont="1" applyFill="1" applyBorder="1" applyAlignment="1">
      <alignment horizontal="center"/>
    </xf>
    <xf numFmtId="0" fontId="0" fillId="15" borderId="1" xfId="0" applyFill="1" applyBorder="1"/>
    <xf numFmtId="0" fontId="9" fillId="17" borderId="1" xfId="0" applyFont="1" applyFill="1" applyBorder="1" applyAlignment="1">
      <alignment horizontal="center"/>
    </xf>
    <xf numFmtId="0" fontId="21" fillId="1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5" fillId="0" borderId="1" xfId="0" applyFont="1" applyBorder="1"/>
    <xf numFmtId="0" fontId="9" fillId="14" borderId="1" xfId="0" applyFont="1" applyFill="1" applyBorder="1" applyAlignment="1">
      <alignment horizontal="center" vertical="center"/>
    </xf>
    <xf numFmtId="9" fontId="9" fillId="0" borderId="1" xfId="0" applyNumberFormat="1" applyFont="1" applyBorder="1"/>
    <xf numFmtId="0" fontId="1" fillId="20" borderId="1" xfId="0" applyFont="1" applyFill="1" applyBorder="1" applyAlignment="1">
      <alignment horizontal="center" vertical="center" wrapText="1"/>
    </xf>
    <xf numFmtId="0" fontId="1" fillId="20" borderId="1" xfId="0" applyFont="1" applyFill="1" applyBorder="1" applyAlignment="1">
      <alignment horizontal="center" wrapText="1"/>
    </xf>
    <xf numFmtId="0" fontId="12" fillId="0" borderId="1" xfId="0" applyFont="1" applyBorder="1" applyAlignment="1">
      <alignment horizontal="center" vertical="center" wrapText="1"/>
    </xf>
    <xf numFmtId="15"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4" fillId="21" borderId="1" xfId="0" applyFont="1" applyFill="1" applyBorder="1" applyAlignment="1">
      <alignment horizontal="center" vertical="center"/>
    </xf>
    <xf numFmtId="0" fontId="12" fillId="21" borderId="1" xfId="1" applyFont="1" applyFill="1" applyBorder="1"/>
    <xf numFmtId="0" fontId="12" fillId="21" borderId="1" xfId="0" applyFont="1" applyFill="1" applyBorder="1"/>
    <xf numFmtId="9" fontId="25" fillId="0" borderId="1" xfId="3" applyFont="1" applyBorder="1"/>
    <xf numFmtId="2" fontId="26" fillId="0" borderId="1" xfId="0" applyNumberFormat="1" applyFont="1" applyBorder="1"/>
    <xf numFmtId="9" fontId="26" fillId="0" borderId="1" xfId="3" applyFont="1" applyBorder="1"/>
    <xf numFmtId="9" fontId="26" fillId="0" borderId="1" xfId="3" applyFont="1" applyBorder="1" applyAlignment="1">
      <alignment horizontal="center" vertical="center"/>
    </xf>
    <xf numFmtId="0" fontId="25" fillId="0" borderId="1" xfId="0" applyFont="1" applyBorder="1" applyAlignment="1">
      <alignment horizontal="center" vertical="center"/>
    </xf>
    <xf numFmtId="0" fontId="2" fillId="22" borderId="1" xfId="0" applyFont="1" applyFill="1" applyBorder="1" applyAlignment="1">
      <alignment horizontal="center" vertical="center" wrapText="1"/>
    </xf>
    <xf numFmtId="0" fontId="21" fillId="22" borderId="1" xfId="0" applyFont="1" applyFill="1" applyBorder="1" applyAlignment="1">
      <alignment horizontal="center" vertical="center" wrapText="1"/>
    </xf>
    <xf numFmtId="0" fontId="2" fillId="23" borderId="1" xfId="0" applyFont="1" applyFill="1" applyBorder="1" applyAlignment="1">
      <alignment horizontal="center" vertical="center" wrapText="1"/>
    </xf>
    <xf numFmtId="10" fontId="2" fillId="23" borderId="1" xfId="0" applyNumberFormat="1" applyFont="1" applyFill="1" applyBorder="1" applyAlignment="1">
      <alignment horizontal="center" vertical="center" wrapText="1"/>
    </xf>
    <xf numFmtId="20" fontId="2" fillId="23" borderId="1" xfId="0" applyNumberFormat="1" applyFont="1" applyFill="1" applyBorder="1" applyAlignment="1">
      <alignment horizontal="center" vertical="center" wrapText="1"/>
    </xf>
    <xf numFmtId="9" fontId="2" fillId="23" borderId="1" xfId="0" applyNumberFormat="1" applyFont="1" applyFill="1" applyBorder="1" applyAlignment="1">
      <alignment horizontal="center" vertical="center" wrapText="1"/>
    </xf>
    <xf numFmtId="10" fontId="21" fillId="23" borderId="2" xfId="0" applyNumberFormat="1" applyFont="1" applyFill="1" applyBorder="1" applyAlignment="1">
      <alignment horizontal="center" vertical="center" wrapText="1"/>
    </xf>
    <xf numFmtId="0" fontId="21" fillId="23" borderId="1" xfId="0" applyFont="1" applyFill="1" applyBorder="1" applyAlignment="1">
      <alignment horizontal="center" vertical="center" wrapText="1"/>
    </xf>
    <xf numFmtId="0" fontId="27" fillId="0" borderId="1" xfId="0" applyFont="1" applyBorder="1" applyAlignment="1">
      <alignment horizontal="center" wrapText="1"/>
    </xf>
    <xf numFmtId="0" fontId="7" fillId="0" borderId="1" xfId="0" applyFont="1" applyBorder="1"/>
    <xf numFmtId="0" fontId="0" fillId="0" borderId="0" xfId="0" applyAlignment="1">
      <alignment horizontal="left" indent="2"/>
    </xf>
    <xf numFmtId="0" fontId="28" fillId="0" borderId="0" xfId="0" applyFont="1" applyAlignment="1">
      <alignment horizontal="left" vertical="center" wrapText="1" readingOrder="1"/>
    </xf>
    <xf numFmtId="0" fontId="2" fillId="24" borderId="2" xfId="0" applyFont="1" applyFill="1" applyBorder="1" applyAlignment="1">
      <alignment horizontal="center" vertical="center" wrapText="1"/>
    </xf>
    <xf numFmtId="0" fontId="2" fillId="24" borderId="1" xfId="0" applyFont="1" applyFill="1" applyBorder="1" applyAlignment="1">
      <alignment horizontal="center" vertical="center" wrapText="1"/>
    </xf>
    <xf numFmtId="0" fontId="28" fillId="0" borderId="0" xfId="0" applyFont="1" applyAlignment="1">
      <alignment wrapText="1"/>
    </xf>
    <xf numFmtId="0" fontId="28" fillId="0" borderId="0" xfId="0" applyFont="1" applyAlignment="1">
      <alignment horizontal="left" vertical="center" readingOrder="1"/>
    </xf>
    <xf numFmtId="0" fontId="22" fillId="0" borderId="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1" fillId="3"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10" fontId="21" fillId="23" borderId="1" xfId="0" applyNumberFormat="1" applyFont="1" applyFill="1" applyBorder="1" applyAlignment="1">
      <alignment horizontal="center" vertical="center" wrapText="1"/>
    </xf>
    <xf numFmtId="0" fontId="5" fillId="15" borderId="15" xfId="0" applyFont="1" applyFill="1" applyBorder="1" applyAlignment="1">
      <alignment horizontal="center" vertical="center" wrapText="1"/>
    </xf>
    <xf numFmtId="0" fontId="5" fillId="15" borderId="16" xfId="0" applyFont="1" applyFill="1" applyBorder="1" applyAlignment="1">
      <alignment horizontal="center" vertical="center" wrapText="1"/>
    </xf>
    <xf numFmtId="0" fontId="5" fillId="15" borderId="17"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9" fillId="16" borderId="4" xfId="0" applyFont="1" applyFill="1" applyBorder="1" applyAlignment="1">
      <alignment horizontal="center" vertical="center"/>
    </xf>
    <xf numFmtId="0" fontId="9" fillId="16" borderId="1" xfId="0" applyFont="1" applyFill="1" applyBorder="1" applyAlignment="1">
      <alignment horizontal="center" vertical="center"/>
    </xf>
    <xf numFmtId="0" fontId="9" fillId="16" borderId="4" xfId="0" applyFont="1" applyFill="1" applyBorder="1" applyAlignment="1">
      <alignment horizontal="center"/>
    </xf>
    <xf numFmtId="0" fontId="9" fillId="14" borderId="13" xfId="0" applyFont="1" applyFill="1" applyBorder="1" applyAlignment="1">
      <alignment horizontal="center"/>
    </xf>
    <xf numFmtId="0" fontId="9" fillId="14" borderId="14" xfId="0" applyFont="1" applyFill="1" applyBorder="1" applyAlignment="1">
      <alignment horizontal="center"/>
    </xf>
    <xf numFmtId="0" fontId="9" fillId="19" borderId="2" xfId="1" applyFont="1" applyFill="1" applyBorder="1" applyAlignment="1">
      <alignment horizontal="center" vertical="center" wrapText="1"/>
    </xf>
    <xf numFmtId="0" fontId="9" fillId="19" borderId="3" xfId="1" applyFont="1" applyFill="1" applyBorder="1" applyAlignment="1">
      <alignment horizontal="center" vertical="center" wrapText="1"/>
    </xf>
    <xf numFmtId="0" fontId="9" fillId="19" borderId="4" xfId="1" applyFont="1" applyFill="1" applyBorder="1" applyAlignment="1">
      <alignment horizontal="center" vertical="center" wrapText="1"/>
    </xf>
    <xf numFmtId="0" fontId="13" fillId="4" borderId="22" xfId="1" applyFont="1" applyFill="1" applyBorder="1" applyAlignment="1">
      <alignment horizontal="center" wrapText="1"/>
    </xf>
    <xf numFmtId="0" fontId="13" fillId="4" borderId="12" xfId="1" applyFont="1" applyFill="1" applyBorder="1" applyAlignment="1">
      <alignment horizontal="center" wrapText="1"/>
    </xf>
    <xf numFmtId="0" fontId="9" fillId="7" borderId="5" xfId="0" applyFont="1" applyFill="1" applyBorder="1" applyAlignment="1">
      <alignment horizontal="center"/>
    </xf>
    <xf numFmtId="0" fontId="9" fillId="7" borderId="10" xfId="0" applyFont="1" applyFill="1" applyBorder="1" applyAlignment="1">
      <alignment horizontal="center"/>
    </xf>
    <xf numFmtId="0" fontId="9" fillId="7" borderId="11" xfId="0" applyFont="1" applyFill="1" applyBorder="1" applyAlignment="1">
      <alignment horizontal="center"/>
    </xf>
    <xf numFmtId="0" fontId="9" fillId="5" borderId="5" xfId="0" applyFont="1" applyFill="1" applyBorder="1" applyAlignment="1">
      <alignment horizontal="right" vertical="center"/>
    </xf>
    <xf numFmtId="0" fontId="9" fillId="5" borderId="10" xfId="0" applyFont="1" applyFill="1" applyBorder="1" applyAlignment="1">
      <alignment horizontal="right" vertical="center"/>
    </xf>
    <xf numFmtId="0" fontId="9" fillId="5" borderId="11" xfId="0" applyFont="1" applyFill="1" applyBorder="1" applyAlignment="1">
      <alignment horizontal="right" vertical="center"/>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0" fontId="20" fillId="9" borderId="1" xfId="0" applyFont="1" applyFill="1" applyBorder="1" applyAlignment="1">
      <alignment horizontal="center"/>
    </xf>
    <xf numFmtId="167" fontId="21" fillId="23" borderId="1" xfId="0" applyNumberFormat="1"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Percent" xfId="3" builtinId="5"/>
  </cellStyles>
  <dxfs count="28">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000" b="1" baseline="0"/>
              <a:t>Attainment Trend</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'Comparative Analysis'!$C$17</c:f>
              <c:strCache>
                <c:ptCount val="1"/>
                <c:pt idx="0">
                  <c:v>QnM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Analysis'!$B$18</c:f>
              <c:strCache>
                <c:ptCount val="1"/>
                <c:pt idx="0">
                  <c:v>DD-MMM-YY</c:v>
                </c:pt>
              </c:strCache>
            </c:strRef>
          </c:cat>
          <c:val>
            <c:numRef>
              <c:f>'Comparative Analysis'!$C$18</c:f>
              <c:numCache>
                <c:formatCode>0%</c:formatCode>
                <c:ptCount val="1"/>
                <c:pt idx="0">
                  <c:v>0</c:v>
                </c:pt>
              </c:numCache>
            </c:numRef>
          </c:val>
          <c:extLst>
            <c:ext xmlns:c16="http://schemas.microsoft.com/office/drawing/2014/chart" uri="{C3380CC4-5D6E-409C-BE32-E72D297353CC}">
              <c16:uniqueId val="{00000000-2B04-44BD-AA67-09417922AFAB}"/>
            </c:ext>
          </c:extLst>
        </c:ser>
        <c:ser>
          <c:idx val="1"/>
          <c:order val="1"/>
          <c:tx>
            <c:strRef>
              <c:f>'Comparative Analysis'!$D$17</c:f>
              <c:strCache>
                <c:ptCount val="1"/>
                <c:pt idx="0">
                  <c:v>QlM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Analysis'!$B$18</c:f>
              <c:strCache>
                <c:ptCount val="1"/>
                <c:pt idx="0">
                  <c:v>DD-MMM-YY</c:v>
                </c:pt>
              </c:strCache>
            </c:strRef>
          </c:cat>
          <c:val>
            <c:numRef>
              <c:f>'Comparative Analysis'!$D$18</c:f>
              <c:numCache>
                <c:formatCode>0%</c:formatCode>
                <c:ptCount val="1"/>
                <c:pt idx="0">
                  <c:v>0</c:v>
                </c:pt>
              </c:numCache>
            </c:numRef>
          </c:val>
          <c:extLst>
            <c:ext xmlns:c16="http://schemas.microsoft.com/office/drawing/2014/chart" uri="{C3380CC4-5D6E-409C-BE32-E72D297353CC}">
              <c16:uniqueId val="{00000001-2B04-44BD-AA67-09417922AFAB}"/>
            </c:ext>
          </c:extLst>
        </c:ser>
        <c:ser>
          <c:idx val="2"/>
          <c:order val="2"/>
          <c:tx>
            <c:strRef>
              <c:f>'Comparative Analysis'!$E$17</c:f>
              <c:strCache>
                <c:ptCount val="1"/>
                <c:pt idx="0">
                  <c:v>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Analysis'!$B$18</c:f>
              <c:strCache>
                <c:ptCount val="1"/>
                <c:pt idx="0">
                  <c:v>DD-MMM-YY</c:v>
                </c:pt>
              </c:strCache>
            </c:strRef>
          </c:cat>
          <c:val>
            <c:numRef>
              <c:f>'Comparative Analysis'!$E$18</c:f>
              <c:numCache>
                <c:formatCode>0%</c:formatCode>
                <c:ptCount val="1"/>
                <c:pt idx="0">
                  <c:v>0</c:v>
                </c:pt>
              </c:numCache>
            </c:numRef>
          </c:val>
          <c:extLst>
            <c:ext xmlns:c16="http://schemas.microsoft.com/office/drawing/2014/chart" uri="{C3380CC4-5D6E-409C-BE32-E72D297353CC}">
              <c16:uniqueId val="{00000002-2B04-44BD-AA67-09417922AFAB}"/>
            </c:ext>
          </c:extLst>
        </c:ser>
        <c:dLbls>
          <c:showLegendKey val="0"/>
          <c:showVal val="0"/>
          <c:showCatName val="0"/>
          <c:showSerName val="0"/>
          <c:showPercent val="0"/>
          <c:showBubbleSize val="0"/>
        </c:dLbls>
        <c:gapWidth val="219"/>
        <c:overlap val="-27"/>
        <c:axId val="1574905375"/>
        <c:axId val="1574902879"/>
      </c:barChart>
      <c:catAx>
        <c:axId val="157490537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902879"/>
        <c:crosses val="autoZero"/>
        <c:auto val="1"/>
        <c:lblAlgn val="ctr"/>
        <c:lblOffset val="100"/>
        <c:noMultiLvlLbl val="1"/>
      </c:catAx>
      <c:valAx>
        <c:axId val="15749028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905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Score Trend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'Comparative Analysis'!$C$27</c:f>
              <c:strCache>
                <c:ptCount val="1"/>
                <c:pt idx="0">
                  <c:v>QnM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Analysis'!$B$28</c:f>
              <c:strCache>
                <c:ptCount val="1"/>
                <c:pt idx="0">
                  <c:v>DD-MMM-YY</c:v>
                </c:pt>
              </c:strCache>
            </c:strRef>
          </c:cat>
          <c:val>
            <c:numRef>
              <c:f>'Comparative Analysis'!$C$28</c:f>
              <c:numCache>
                <c:formatCode>0</c:formatCode>
                <c:ptCount val="1"/>
                <c:pt idx="0">
                  <c:v>0</c:v>
                </c:pt>
              </c:numCache>
            </c:numRef>
          </c:val>
          <c:extLst>
            <c:ext xmlns:c16="http://schemas.microsoft.com/office/drawing/2014/chart" uri="{C3380CC4-5D6E-409C-BE32-E72D297353CC}">
              <c16:uniqueId val="{00000000-6238-4178-B9D7-F541FF499749}"/>
            </c:ext>
          </c:extLst>
        </c:ser>
        <c:ser>
          <c:idx val="1"/>
          <c:order val="1"/>
          <c:tx>
            <c:strRef>
              <c:f>'Comparative Analysis'!$D$27</c:f>
              <c:strCache>
                <c:ptCount val="1"/>
                <c:pt idx="0">
                  <c:v>QlM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Analysis'!$B$28</c:f>
              <c:strCache>
                <c:ptCount val="1"/>
                <c:pt idx="0">
                  <c:v>DD-MMM-YY</c:v>
                </c:pt>
              </c:strCache>
            </c:strRef>
          </c:cat>
          <c:val>
            <c:numRef>
              <c:f>'Comparative Analysis'!$D$28</c:f>
              <c:numCache>
                <c:formatCode>0</c:formatCode>
                <c:ptCount val="1"/>
                <c:pt idx="0">
                  <c:v>0</c:v>
                </c:pt>
              </c:numCache>
            </c:numRef>
          </c:val>
          <c:extLst>
            <c:ext xmlns:c16="http://schemas.microsoft.com/office/drawing/2014/chart" uri="{C3380CC4-5D6E-409C-BE32-E72D297353CC}">
              <c16:uniqueId val="{00000001-6238-4178-B9D7-F541FF499749}"/>
            </c:ext>
          </c:extLst>
        </c:ser>
        <c:ser>
          <c:idx val="2"/>
          <c:order val="2"/>
          <c:tx>
            <c:strRef>
              <c:f>'Comparative Analysis'!$E$27</c:f>
              <c:strCache>
                <c:ptCount val="1"/>
                <c:pt idx="0">
                  <c:v>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Analysis'!$B$28</c:f>
              <c:strCache>
                <c:ptCount val="1"/>
                <c:pt idx="0">
                  <c:v>DD-MMM-YY</c:v>
                </c:pt>
              </c:strCache>
            </c:strRef>
          </c:cat>
          <c:val>
            <c:numRef>
              <c:f>'Comparative Analysis'!$E$28</c:f>
              <c:numCache>
                <c:formatCode>0</c:formatCode>
                <c:ptCount val="1"/>
                <c:pt idx="0">
                  <c:v>0</c:v>
                </c:pt>
              </c:numCache>
            </c:numRef>
          </c:val>
          <c:extLst>
            <c:ext xmlns:c16="http://schemas.microsoft.com/office/drawing/2014/chart" uri="{C3380CC4-5D6E-409C-BE32-E72D297353CC}">
              <c16:uniqueId val="{00000002-6238-4178-B9D7-F541FF499749}"/>
            </c:ext>
          </c:extLst>
        </c:ser>
        <c:dLbls>
          <c:showLegendKey val="0"/>
          <c:showVal val="0"/>
          <c:showCatName val="0"/>
          <c:showSerName val="0"/>
          <c:showPercent val="0"/>
          <c:showBubbleSize val="0"/>
        </c:dLbls>
        <c:gapWidth val="219"/>
        <c:overlap val="-27"/>
        <c:axId val="1609481887"/>
        <c:axId val="1609482719"/>
      </c:barChart>
      <c:catAx>
        <c:axId val="160948188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9482719"/>
        <c:crosses val="autoZero"/>
        <c:auto val="1"/>
        <c:lblAlgn val="ctr"/>
        <c:lblOffset val="100"/>
        <c:noMultiLvlLbl val="1"/>
      </c:catAx>
      <c:valAx>
        <c:axId val="1609482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9481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Gap Trend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'Comparative Analysis'!$C$38</c:f>
              <c:strCache>
                <c:ptCount val="1"/>
                <c:pt idx="0">
                  <c:v>QnM Gap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Analysis'!$B$39</c:f>
              <c:strCache>
                <c:ptCount val="1"/>
                <c:pt idx="0">
                  <c:v>DD-MMM-YY</c:v>
                </c:pt>
              </c:strCache>
            </c:strRef>
          </c:cat>
          <c:val>
            <c:numRef>
              <c:f>'Comparative Analysis'!$C$39</c:f>
              <c:numCache>
                <c:formatCode>0</c:formatCode>
                <c:ptCount val="1"/>
                <c:pt idx="0">
                  <c:v>0</c:v>
                </c:pt>
              </c:numCache>
            </c:numRef>
          </c:val>
          <c:extLst>
            <c:ext xmlns:c16="http://schemas.microsoft.com/office/drawing/2014/chart" uri="{C3380CC4-5D6E-409C-BE32-E72D297353CC}">
              <c16:uniqueId val="{00000000-99C8-41C2-894A-BEA6D93F625B}"/>
            </c:ext>
          </c:extLst>
        </c:ser>
        <c:ser>
          <c:idx val="1"/>
          <c:order val="1"/>
          <c:tx>
            <c:strRef>
              <c:f>'Comparative Analysis'!$D$38</c:f>
              <c:strCache>
                <c:ptCount val="1"/>
                <c:pt idx="0">
                  <c:v>QlM Gap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Analysis'!$B$39</c:f>
              <c:strCache>
                <c:ptCount val="1"/>
                <c:pt idx="0">
                  <c:v>DD-MMM-YY</c:v>
                </c:pt>
              </c:strCache>
            </c:strRef>
          </c:cat>
          <c:val>
            <c:numRef>
              <c:f>'Comparative Analysis'!$D$39</c:f>
              <c:numCache>
                <c:formatCode>0</c:formatCode>
                <c:ptCount val="1"/>
                <c:pt idx="0">
                  <c:v>0</c:v>
                </c:pt>
              </c:numCache>
            </c:numRef>
          </c:val>
          <c:extLst>
            <c:ext xmlns:c16="http://schemas.microsoft.com/office/drawing/2014/chart" uri="{C3380CC4-5D6E-409C-BE32-E72D297353CC}">
              <c16:uniqueId val="{00000001-99C8-41C2-894A-BEA6D93F625B}"/>
            </c:ext>
          </c:extLst>
        </c:ser>
        <c:ser>
          <c:idx val="2"/>
          <c:order val="2"/>
          <c:tx>
            <c:strRef>
              <c:f>'Comparative Analysis'!$E$38</c:f>
              <c:strCache>
                <c:ptCount val="1"/>
                <c:pt idx="0">
                  <c:v>Total Gap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Analysis'!$B$39</c:f>
              <c:strCache>
                <c:ptCount val="1"/>
                <c:pt idx="0">
                  <c:v>DD-MMM-YY</c:v>
                </c:pt>
              </c:strCache>
            </c:strRef>
          </c:cat>
          <c:val>
            <c:numRef>
              <c:f>'Comparative Analysis'!$E$39</c:f>
              <c:numCache>
                <c:formatCode>0</c:formatCode>
                <c:ptCount val="1"/>
                <c:pt idx="0">
                  <c:v>0</c:v>
                </c:pt>
              </c:numCache>
            </c:numRef>
          </c:val>
          <c:extLst>
            <c:ext xmlns:c16="http://schemas.microsoft.com/office/drawing/2014/chart" uri="{C3380CC4-5D6E-409C-BE32-E72D297353CC}">
              <c16:uniqueId val="{00000002-99C8-41C2-894A-BEA6D93F625B}"/>
            </c:ext>
          </c:extLst>
        </c:ser>
        <c:dLbls>
          <c:showLegendKey val="0"/>
          <c:showVal val="0"/>
          <c:showCatName val="0"/>
          <c:showSerName val="0"/>
          <c:showPercent val="0"/>
          <c:showBubbleSize val="0"/>
        </c:dLbls>
        <c:gapWidth val="219"/>
        <c:overlap val="-27"/>
        <c:axId val="1854387967"/>
        <c:axId val="1854389631"/>
      </c:barChart>
      <c:catAx>
        <c:axId val="1854387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4389631"/>
        <c:crosses val="autoZero"/>
        <c:auto val="1"/>
        <c:lblAlgn val="ctr"/>
        <c:lblOffset val="100"/>
        <c:noMultiLvlLbl val="1"/>
      </c:catAx>
      <c:valAx>
        <c:axId val="18543896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438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CrGP Trend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'Comparative Analysis'!$C$51</c:f>
              <c:strCache>
                <c:ptCount val="1"/>
                <c:pt idx="0">
                  <c:v>QnM CrGP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Analysis'!$B$52</c:f>
              <c:strCache>
                <c:ptCount val="1"/>
                <c:pt idx="0">
                  <c:v>DD-MMM-YY</c:v>
                </c:pt>
              </c:strCache>
            </c:strRef>
          </c:cat>
          <c:val>
            <c:numRef>
              <c:f>'Comparative Analysis'!$C$52</c:f>
              <c:numCache>
                <c:formatCode>0.00</c:formatCode>
                <c:ptCount val="1"/>
                <c:pt idx="0">
                  <c:v>0</c:v>
                </c:pt>
              </c:numCache>
            </c:numRef>
          </c:val>
          <c:extLst>
            <c:ext xmlns:c16="http://schemas.microsoft.com/office/drawing/2014/chart" uri="{C3380CC4-5D6E-409C-BE32-E72D297353CC}">
              <c16:uniqueId val="{00000000-AB5B-4662-9C2B-3BEC8B6615D6}"/>
            </c:ext>
          </c:extLst>
        </c:ser>
        <c:ser>
          <c:idx val="1"/>
          <c:order val="1"/>
          <c:tx>
            <c:strRef>
              <c:f>'Comparative Analysis'!$D$51</c:f>
              <c:strCache>
                <c:ptCount val="1"/>
                <c:pt idx="0">
                  <c:v>QlM CrGP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Analysis'!$B$52</c:f>
              <c:strCache>
                <c:ptCount val="1"/>
                <c:pt idx="0">
                  <c:v>DD-MMM-YY</c:v>
                </c:pt>
              </c:strCache>
            </c:strRef>
          </c:cat>
          <c:val>
            <c:numRef>
              <c:f>'Comparative Analysis'!$D$52</c:f>
              <c:numCache>
                <c:formatCode>0.00</c:formatCode>
                <c:ptCount val="1"/>
                <c:pt idx="0">
                  <c:v>0</c:v>
                </c:pt>
              </c:numCache>
            </c:numRef>
          </c:val>
          <c:extLst>
            <c:ext xmlns:c16="http://schemas.microsoft.com/office/drawing/2014/chart" uri="{C3380CC4-5D6E-409C-BE32-E72D297353CC}">
              <c16:uniqueId val="{00000001-AB5B-4662-9C2B-3BEC8B6615D6}"/>
            </c:ext>
          </c:extLst>
        </c:ser>
        <c:ser>
          <c:idx val="2"/>
          <c:order val="2"/>
          <c:tx>
            <c:strRef>
              <c:f>'Comparative Analysis'!$E$51</c:f>
              <c:strCache>
                <c:ptCount val="1"/>
                <c:pt idx="0">
                  <c:v>Total CrGP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'Comparative Analysis'!$B$52</c:f>
              <c:strCache>
                <c:ptCount val="1"/>
                <c:pt idx="0">
                  <c:v>DD-MMM-YY</c:v>
                </c:pt>
              </c:strCache>
            </c:strRef>
          </c:cat>
          <c:val>
            <c:numRef>
              <c:f>'Comparative Analysis'!$E$52</c:f>
              <c:numCache>
                <c:formatCode>0.00</c:formatCode>
                <c:ptCount val="1"/>
                <c:pt idx="0">
                  <c:v>0</c:v>
                </c:pt>
              </c:numCache>
            </c:numRef>
          </c:val>
          <c:extLst>
            <c:ext xmlns:c16="http://schemas.microsoft.com/office/drawing/2014/chart" uri="{C3380CC4-5D6E-409C-BE32-E72D297353CC}">
              <c16:uniqueId val="{00000002-AB5B-4662-9C2B-3BEC8B6615D6}"/>
            </c:ext>
          </c:extLst>
        </c:ser>
        <c:dLbls>
          <c:showLegendKey val="0"/>
          <c:showVal val="0"/>
          <c:showCatName val="0"/>
          <c:showSerName val="0"/>
          <c:showPercent val="0"/>
          <c:showBubbleSize val="0"/>
        </c:dLbls>
        <c:gapWidth val="219"/>
        <c:overlap val="-27"/>
        <c:axId val="1570338175"/>
        <c:axId val="1570336511"/>
      </c:barChart>
      <c:catAx>
        <c:axId val="157033817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336511"/>
        <c:crosses val="autoZero"/>
        <c:auto val="1"/>
        <c:lblAlgn val="ctr"/>
        <c:lblOffset val="100"/>
        <c:noMultiLvlLbl val="1"/>
      </c:catAx>
      <c:valAx>
        <c:axId val="157033651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338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Criteria-wise</a:t>
            </a:r>
            <a:r>
              <a:rPr lang="en-US" baseline="0"/>
              <a:t> Score Trend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'Comparative Analysis'!$D$63</c:f>
              <c:strCache>
                <c:ptCount val="1"/>
                <c:pt idx="0">
                  <c:v>QnM Score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'Comparative Analysis'!$B$64:$C$70</c:f>
              <c:multiLvlStrCache>
                <c:ptCount val="7"/>
                <c:lvl>
                  <c:pt idx="0">
                    <c:v>I</c:v>
                  </c:pt>
                  <c:pt idx="1">
                    <c:v>II</c:v>
                  </c:pt>
                  <c:pt idx="2">
                    <c:v>III</c:v>
                  </c:pt>
                  <c:pt idx="3">
                    <c:v>IV</c:v>
                  </c:pt>
                  <c:pt idx="4">
                    <c:v>V</c:v>
                  </c:pt>
                  <c:pt idx="5">
                    <c:v>VI</c:v>
                  </c:pt>
                  <c:pt idx="6">
                    <c:v>VII</c:v>
                  </c:pt>
                </c:lvl>
                <c:lvl>
                  <c:pt idx="0">
                    <c:v>DD-MMM-YY</c:v>
                  </c:pt>
                  <c:pt idx="1">
                    <c:v>DD-MMM-YY</c:v>
                  </c:pt>
                  <c:pt idx="2">
                    <c:v>DD-MMM-YY</c:v>
                  </c:pt>
                  <c:pt idx="3">
                    <c:v>DD-MMM-YY</c:v>
                  </c:pt>
                  <c:pt idx="4">
                    <c:v>DD-MMM-YY</c:v>
                  </c:pt>
                  <c:pt idx="5">
                    <c:v>DD-MMM-YY</c:v>
                  </c:pt>
                  <c:pt idx="6">
                    <c:v>DD-MMM-YY</c:v>
                  </c:pt>
                </c:lvl>
              </c:multiLvlStrCache>
            </c:multiLvlStrRef>
          </c:cat>
          <c:val>
            <c:numRef>
              <c:f>'Comparative Analysis'!$D$64:$D$70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BE9-4D20-9667-D8CAB4B61B83}"/>
            </c:ext>
          </c:extLst>
        </c:ser>
        <c:ser>
          <c:idx val="1"/>
          <c:order val="1"/>
          <c:tx>
            <c:strRef>
              <c:f>'Comparative Analysis'!$E$63</c:f>
              <c:strCache>
                <c:ptCount val="1"/>
                <c:pt idx="0">
                  <c:v>QlM Score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'Comparative Analysis'!$B$64:$C$70</c:f>
              <c:multiLvlStrCache>
                <c:ptCount val="7"/>
                <c:lvl>
                  <c:pt idx="0">
                    <c:v>I</c:v>
                  </c:pt>
                  <c:pt idx="1">
                    <c:v>II</c:v>
                  </c:pt>
                  <c:pt idx="2">
                    <c:v>III</c:v>
                  </c:pt>
                  <c:pt idx="3">
                    <c:v>IV</c:v>
                  </c:pt>
                  <c:pt idx="4">
                    <c:v>V</c:v>
                  </c:pt>
                  <c:pt idx="5">
                    <c:v>VI</c:v>
                  </c:pt>
                  <c:pt idx="6">
                    <c:v>VII</c:v>
                  </c:pt>
                </c:lvl>
                <c:lvl>
                  <c:pt idx="0">
                    <c:v>DD-MMM-YY</c:v>
                  </c:pt>
                  <c:pt idx="1">
                    <c:v>DD-MMM-YY</c:v>
                  </c:pt>
                  <c:pt idx="2">
                    <c:v>DD-MMM-YY</c:v>
                  </c:pt>
                  <c:pt idx="3">
                    <c:v>DD-MMM-YY</c:v>
                  </c:pt>
                  <c:pt idx="4">
                    <c:v>DD-MMM-YY</c:v>
                  </c:pt>
                  <c:pt idx="5">
                    <c:v>DD-MMM-YY</c:v>
                  </c:pt>
                  <c:pt idx="6">
                    <c:v>DD-MMM-YY</c:v>
                  </c:pt>
                </c:lvl>
              </c:multiLvlStrCache>
            </c:multiLvlStrRef>
          </c:cat>
          <c:val>
            <c:numRef>
              <c:f>'Comparative Analysis'!$E$64:$E$70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BE9-4D20-9667-D8CAB4B61B83}"/>
            </c:ext>
          </c:extLst>
        </c:ser>
        <c:ser>
          <c:idx val="2"/>
          <c:order val="2"/>
          <c:tx>
            <c:strRef>
              <c:f>'Comparative Analysis'!$F$63</c:f>
              <c:strCache>
                <c:ptCount val="1"/>
                <c:pt idx="0">
                  <c:v>Overall Score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'Comparative Analysis'!$B$64:$C$70</c:f>
              <c:multiLvlStrCache>
                <c:ptCount val="7"/>
                <c:lvl>
                  <c:pt idx="0">
                    <c:v>I</c:v>
                  </c:pt>
                  <c:pt idx="1">
                    <c:v>II</c:v>
                  </c:pt>
                  <c:pt idx="2">
                    <c:v>III</c:v>
                  </c:pt>
                  <c:pt idx="3">
                    <c:v>IV</c:v>
                  </c:pt>
                  <c:pt idx="4">
                    <c:v>V</c:v>
                  </c:pt>
                  <c:pt idx="5">
                    <c:v>VI</c:v>
                  </c:pt>
                  <c:pt idx="6">
                    <c:v>VII</c:v>
                  </c:pt>
                </c:lvl>
                <c:lvl>
                  <c:pt idx="0">
                    <c:v>DD-MMM-YY</c:v>
                  </c:pt>
                  <c:pt idx="1">
                    <c:v>DD-MMM-YY</c:v>
                  </c:pt>
                  <c:pt idx="2">
                    <c:v>DD-MMM-YY</c:v>
                  </c:pt>
                  <c:pt idx="3">
                    <c:v>DD-MMM-YY</c:v>
                  </c:pt>
                  <c:pt idx="4">
                    <c:v>DD-MMM-YY</c:v>
                  </c:pt>
                  <c:pt idx="5">
                    <c:v>DD-MMM-YY</c:v>
                  </c:pt>
                  <c:pt idx="6">
                    <c:v>DD-MMM-YY</c:v>
                  </c:pt>
                </c:lvl>
              </c:multiLvlStrCache>
            </c:multiLvlStrRef>
          </c:cat>
          <c:val>
            <c:numRef>
              <c:f>'Comparative Analysis'!$F$64:$F$70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BE9-4D20-9667-D8CAB4B61B83}"/>
            </c:ext>
          </c:extLst>
        </c:ser>
        <c:dLbls>
          <c:showLegendKey val="0"/>
          <c:showVal val="0"/>
          <c:showCatName val="0"/>
          <c:showSerName val="0"/>
          <c:showPercent val="0"/>
          <c:showBubbleSize val="0"/>
        </c:dLbls>
        <c:gapWidth val="219"/>
        <c:overlap val="-27"/>
        <c:axId val="1575663999"/>
        <c:axId val="1575661919"/>
      </c:barChart>
      <c:catAx>
        <c:axId val="1575663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5661919"/>
        <c:crosses val="autoZero"/>
        <c:auto val="1"/>
        <c:lblAlgn val="ctr"/>
        <c:lblOffset val="100"/>
        <c:noMultiLvlLbl val="0"/>
      </c:catAx>
      <c:valAx>
        <c:axId val="1575661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5663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Criteria-wise</a:t>
            </a:r>
            <a:r>
              <a:rPr lang="en-US" baseline="0"/>
              <a:t> Gap Trend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'Comparative Analysis'!$D$85</c:f>
              <c:strCache>
                <c:ptCount val="1"/>
                <c:pt idx="0">
                  <c:v>QnM Gap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'Comparative Analysis'!$B$86:$C$92</c:f>
              <c:multiLvlStrCache>
                <c:ptCount val="7"/>
                <c:lvl>
                  <c:pt idx="0">
                    <c:v>I</c:v>
                  </c:pt>
                  <c:pt idx="1">
                    <c:v>II</c:v>
                  </c:pt>
                  <c:pt idx="2">
                    <c:v>III</c:v>
                  </c:pt>
                  <c:pt idx="3">
                    <c:v>IV</c:v>
                  </c:pt>
                  <c:pt idx="4">
                    <c:v>V</c:v>
                  </c:pt>
                  <c:pt idx="5">
                    <c:v>VI</c:v>
                  </c:pt>
                  <c:pt idx="6">
                    <c:v>VII</c:v>
                  </c:pt>
                </c:lvl>
                <c:lvl>
                  <c:pt idx="0">
                    <c:v>DD-MMM-YY</c:v>
                  </c:pt>
                  <c:pt idx="1">
                    <c:v>DD-MMM-YY</c:v>
                  </c:pt>
                  <c:pt idx="2">
                    <c:v>DD-MMM-YY</c:v>
                  </c:pt>
                  <c:pt idx="3">
                    <c:v>DD-MMM-YY</c:v>
                  </c:pt>
                  <c:pt idx="4">
                    <c:v>DD-MMM-YY</c:v>
                  </c:pt>
                  <c:pt idx="5">
                    <c:v>DD-MMM-YY</c:v>
                  </c:pt>
                  <c:pt idx="6">
                    <c:v>DD-MMM-YY</c:v>
                  </c:pt>
                </c:lvl>
              </c:multiLvlStrCache>
            </c:multiLvlStrRef>
          </c:cat>
          <c:val>
            <c:numRef>
              <c:f>'Comparative Analysis'!$D$86:$D$92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9DE-4BA5-910D-F6138F8FE58D}"/>
            </c:ext>
          </c:extLst>
        </c:ser>
        <c:ser>
          <c:idx val="1"/>
          <c:order val="1"/>
          <c:tx>
            <c:strRef>
              <c:f>'Comparative Analysis'!$E$85</c:f>
              <c:strCache>
                <c:ptCount val="1"/>
                <c:pt idx="0">
                  <c:v>QlM Gap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'Comparative Analysis'!$B$86:$C$92</c:f>
              <c:multiLvlStrCache>
                <c:ptCount val="7"/>
                <c:lvl>
                  <c:pt idx="0">
                    <c:v>I</c:v>
                  </c:pt>
                  <c:pt idx="1">
                    <c:v>II</c:v>
                  </c:pt>
                  <c:pt idx="2">
                    <c:v>III</c:v>
                  </c:pt>
                  <c:pt idx="3">
                    <c:v>IV</c:v>
                  </c:pt>
                  <c:pt idx="4">
                    <c:v>V</c:v>
                  </c:pt>
                  <c:pt idx="5">
                    <c:v>VI</c:v>
                  </c:pt>
                  <c:pt idx="6">
                    <c:v>VII</c:v>
                  </c:pt>
                </c:lvl>
                <c:lvl>
                  <c:pt idx="0">
                    <c:v>DD-MMM-YY</c:v>
                  </c:pt>
                  <c:pt idx="1">
                    <c:v>DD-MMM-YY</c:v>
                  </c:pt>
                  <c:pt idx="2">
                    <c:v>DD-MMM-YY</c:v>
                  </c:pt>
                  <c:pt idx="3">
                    <c:v>DD-MMM-YY</c:v>
                  </c:pt>
                  <c:pt idx="4">
                    <c:v>DD-MMM-YY</c:v>
                  </c:pt>
                  <c:pt idx="5">
                    <c:v>DD-MMM-YY</c:v>
                  </c:pt>
                  <c:pt idx="6">
                    <c:v>DD-MMM-YY</c:v>
                  </c:pt>
                </c:lvl>
              </c:multiLvlStrCache>
            </c:multiLvlStrRef>
          </c:cat>
          <c:val>
            <c:numRef>
              <c:f>'Comparative Analysis'!$E$86:$E$92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19DE-4BA5-910D-F6138F8FE58D}"/>
            </c:ext>
          </c:extLst>
        </c:ser>
        <c:ser>
          <c:idx val="2"/>
          <c:order val="2"/>
          <c:tx>
            <c:strRef>
              <c:f>'Comparative Analysis'!$F$85</c:f>
              <c:strCache>
                <c:ptCount val="1"/>
                <c:pt idx="0">
                  <c:v>Total Gap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'Comparative Analysis'!$B$86:$C$92</c:f>
              <c:multiLvlStrCache>
                <c:ptCount val="7"/>
                <c:lvl>
                  <c:pt idx="0">
                    <c:v>I</c:v>
                  </c:pt>
                  <c:pt idx="1">
                    <c:v>II</c:v>
                  </c:pt>
                  <c:pt idx="2">
                    <c:v>III</c:v>
                  </c:pt>
                  <c:pt idx="3">
                    <c:v>IV</c:v>
                  </c:pt>
                  <c:pt idx="4">
                    <c:v>V</c:v>
                  </c:pt>
                  <c:pt idx="5">
                    <c:v>VI</c:v>
                  </c:pt>
                  <c:pt idx="6">
                    <c:v>VII</c:v>
                  </c:pt>
                </c:lvl>
                <c:lvl>
                  <c:pt idx="0">
                    <c:v>DD-MMM-YY</c:v>
                  </c:pt>
                  <c:pt idx="1">
                    <c:v>DD-MMM-YY</c:v>
                  </c:pt>
                  <c:pt idx="2">
                    <c:v>DD-MMM-YY</c:v>
                  </c:pt>
                  <c:pt idx="3">
                    <c:v>DD-MMM-YY</c:v>
                  </c:pt>
                  <c:pt idx="4">
                    <c:v>DD-MMM-YY</c:v>
                  </c:pt>
                  <c:pt idx="5">
                    <c:v>DD-MMM-YY</c:v>
                  </c:pt>
                  <c:pt idx="6">
                    <c:v>DD-MMM-YY</c:v>
                  </c:pt>
                </c:lvl>
              </c:multiLvlStrCache>
            </c:multiLvlStrRef>
          </c:cat>
          <c:val>
            <c:numRef>
              <c:f>'Comparative Analysis'!$F$86:$F$92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19DE-4BA5-910D-F6138F8FE58D}"/>
            </c:ext>
          </c:extLst>
        </c:ser>
        <c:dLbls>
          <c:showLegendKey val="0"/>
          <c:showVal val="0"/>
          <c:showCatName val="0"/>
          <c:showSerName val="0"/>
          <c:showPercent val="0"/>
          <c:showBubbleSize val="0"/>
        </c:dLbls>
        <c:gapWidth val="219"/>
        <c:overlap val="-27"/>
        <c:axId val="1577975935"/>
        <c:axId val="1577983423"/>
      </c:barChart>
      <c:catAx>
        <c:axId val="1577975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7983423"/>
        <c:crosses val="autoZero"/>
        <c:auto val="1"/>
        <c:lblAlgn val="ctr"/>
        <c:lblOffset val="100"/>
        <c:noMultiLvlLbl val="0"/>
      </c:catAx>
      <c:valAx>
        <c:axId val="15779834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7975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723900</xdr:colOff>
      <xdr:row>13</xdr:row>
      <xdr:rowOff>139699</xdr:rowOff>
    </xdr:from>
    <xdr:to>
      <xdr:col>12</xdr:col>
      <xdr:colOff>177800</xdr:colOff>
      <xdr:row>22</xdr:row>
      <xdr:rowOff>76200</xdr:rowOff>
    </xdr:to>
    <xdr:graphicFrame macro="">
      <xdr:nvGraphicFramePr>
        <xdr:cNvPr id="9" name="Chart 8">
          <a:extLst>
            <a:ext uri="{FF2B5EF4-FFF2-40B4-BE49-F238E27FC236}">
              <a16:creationId xmlns:a16="http://schemas.microsoft.com/office/drawing/2014/main" id="{657C7596-3442-4606-964A-366F937636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679450</xdr:colOff>
      <xdr:row>24</xdr:row>
      <xdr:rowOff>0</xdr:rowOff>
    </xdr:from>
    <xdr:to>
      <xdr:col>12</xdr:col>
      <xdr:colOff>152400</xdr:colOff>
      <xdr:row>32</xdr:row>
      <xdr:rowOff>165100</xdr:rowOff>
    </xdr:to>
    <xdr:graphicFrame macro="">
      <xdr:nvGraphicFramePr>
        <xdr:cNvPr id="10" name="Chart 9">
          <a:extLst>
            <a:ext uri="{FF2B5EF4-FFF2-40B4-BE49-F238E27FC236}">
              <a16:creationId xmlns:a16="http://schemas.microsoft.com/office/drawing/2014/main" id="{3BD83E59-ED43-466C-BC24-51959D4AC2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641349</xdr:colOff>
      <xdr:row>34</xdr:row>
      <xdr:rowOff>184149</xdr:rowOff>
    </xdr:from>
    <xdr:to>
      <xdr:col>12</xdr:col>
      <xdr:colOff>139700</xdr:colOff>
      <xdr:row>44</xdr:row>
      <xdr:rowOff>165100</xdr:rowOff>
    </xdr:to>
    <xdr:graphicFrame macro="">
      <xdr:nvGraphicFramePr>
        <xdr:cNvPr id="11" name="Chart 10">
          <a:extLst>
            <a:ext uri="{FF2B5EF4-FFF2-40B4-BE49-F238E27FC236}">
              <a16:creationId xmlns:a16="http://schemas.microsoft.com/office/drawing/2014/main" id="{56007FAF-91CC-4819-9EDC-8A80E98815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654050</xdr:colOff>
      <xdr:row>48</xdr:row>
      <xdr:rowOff>0</xdr:rowOff>
    </xdr:from>
    <xdr:to>
      <xdr:col>12</xdr:col>
      <xdr:colOff>76200</xdr:colOff>
      <xdr:row>58</xdr:row>
      <xdr:rowOff>15874</xdr:rowOff>
    </xdr:to>
    <xdr:graphicFrame macro="">
      <xdr:nvGraphicFramePr>
        <xdr:cNvPr id="12" name="Chart 11">
          <a:extLst>
            <a:ext uri="{FF2B5EF4-FFF2-40B4-BE49-F238E27FC236}">
              <a16:creationId xmlns:a16="http://schemas.microsoft.com/office/drawing/2014/main" id="{7BFB854A-9DCB-4B81-AE5F-D2024907C7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206374</xdr:colOff>
      <xdr:row>61</xdr:row>
      <xdr:rowOff>155575</xdr:rowOff>
    </xdr:from>
    <xdr:to>
      <xdr:col>15</xdr:col>
      <xdr:colOff>273050</xdr:colOff>
      <xdr:row>76</xdr:row>
      <xdr:rowOff>158750</xdr:rowOff>
    </xdr:to>
    <xdr:graphicFrame macro="">
      <xdr:nvGraphicFramePr>
        <xdr:cNvPr id="13" name="Chart 12">
          <a:extLst>
            <a:ext uri="{FF2B5EF4-FFF2-40B4-BE49-F238E27FC236}">
              <a16:creationId xmlns:a16="http://schemas.microsoft.com/office/drawing/2014/main" id="{B34FC92D-D2A9-493D-81E8-6B806F74AA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314324</xdr:colOff>
      <xdr:row>82</xdr:row>
      <xdr:rowOff>130174</xdr:rowOff>
    </xdr:from>
    <xdr:to>
      <xdr:col>15</xdr:col>
      <xdr:colOff>215899</xdr:colOff>
      <xdr:row>97</xdr:row>
      <xdr:rowOff>139699</xdr:rowOff>
    </xdr:to>
    <xdr:graphicFrame macro="">
      <xdr:nvGraphicFramePr>
        <xdr:cNvPr id="15" name="Chart 14">
          <a:extLst>
            <a:ext uri="{FF2B5EF4-FFF2-40B4-BE49-F238E27FC236}">
              <a16:creationId xmlns:a16="http://schemas.microsoft.com/office/drawing/2014/main" id="{F97F20E8-5F91-4A32-B7CD-379254753F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2"/>
  <sheetViews>
    <sheetView tabSelected="1" zoomScale="80" zoomScaleNormal="80" workbookViewId="0">
      <pane xSplit="10" ySplit="2" topLeftCell="K3" activePane="bottomRight" state="frozen"/>
      <selection pane="topRight" activeCell="K1" sqref="K1"/>
      <selection pane="bottomLeft" activeCell="A3" sqref="A3"/>
      <selection pane="bottomRight" activeCell="H56" sqref="H56"/>
    </sheetView>
  </sheetViews>
  <sheetFormatPr defaultColWidth="9.1796875" defaultRowHeight="15.5" x14ac:dyDescent="0.35"/>
  <cols>
    <col min="1" max="1" width="9.1796875" style="3"/>
    <col min="2" max="2" width="46" style="142" customWidth="1"/>
    <col min="3" max="3" width="8" style="3" customWidth="1"/>
    <col min="4" max="4" width="11.54296875" style="3" customWidth="1"/>
    <col min="5" max="5" width="12.54296875" style="3" customWidth="1"/>
    <col min="6" max="6" width="13" style="3" customWidth="1"/>
    <col min="7" max="8" width="8.453125" style="3" customWidth="1"/>
    <col min="9" max="9" width="7.54296875" style="6" customWidth="1"/>
    <col min="10" max="10" width="10.54296875" style="6" customWidth="1"/>
    <col min="11" max="11" width="40.54296875" style="3" customWidth="1"/>
    <col min="12" max="12" width="14.54296875" style="3" customWidth="1"/>
    <col min="13" max="13" width="40.54296875" style="6" customWidth="1"/>
    <col min="14" max="14" width="42.1796875" style="2" customWidth="1"/>
    <col min="15" max="15" width="24.81640625" style="2" customWidth="1"/>
    <col min="16" max="17" width="13.1796875" style="2" bestFit="1" customWidth="1"/>
    <col min="18" max="16384" width="9.1796875" style="2"/>
  </cols>
  <sheetData>
    <row r="1" spans="1:19" ht="20.5" customHeight="1" thickBot="1" x14ac:dyDescent="0.4">
      <c r="A1" s="144" t="s">
        <v>162</v>
      </c>
      <c r="B1" s="145"/>
      <c r="C1" s="145"/>
      <c r="D1" s="145"/>
      <c r="E1" s="145"/>
      <c r="F1" s="145"/>
      <c r="G1" s="145"/>
      <c r="H1" s="145"/>
      <c r="I1" s="145"/>
      <c r="J1" s="145"/>
      <c r="K1" s="145"/>
      <c r="L1" s="145"/>
      <c r="M1" s="146"/>
      <c r="N1"/>
      <c r="O1"/>
      <c r="P1"/>
      <c r="Q1"/>
      <c r="R1"/>
      <c r="S1"/>
    </row>
    <row r="2" spans="1:19" ht="30" x14ac:dyDescent="0.35">
      <c r="A2" s="93" t="s">
        <v>143</v>
      </c>
      <c r="B2" s="93" t="s">
        <v>136</v>
      </c>
      <c r="C2" s="93" t="s">
        <v>4</v>
      </c>
      <c r="D2" s="93" t="s">
        <v>5</v>
      </c>
      <c r="E2" s="93" t="s">
        <v>0</v>
      </c>
      <c r="F2" s="93" t="s">
        <v>7</v>
      </c>
      <c r="G2" s="93" t="s">
        <v>22</v>
      </c>
      <c r="H2" s="93" t="s">
        <v>21</v>
      </c>
      <c r="I2" s="93" t="s">
        <v>2</v>
      </c>
      <c r="J2" s="93" t="s">
        <v>3</v>
      </c>
      <c r="K2" s="93" t="s">
        <v>197</v>
      </c>
      <c r="L2" s="93" t="s">
        <v>198</v>
      </c>
      <c r="M2" s="93" t="s">
        <v>8</v>
      </c>
    </row>
    <row r="3" spans="1:19" ht="62" x14ac:dyDescent="0.35">
      <c r="A3" s="9">
        <v>1</v>
      </c>
      <c r="B3" s="137" t="s">
        <v>67</v>
      </c>
      <c r="C3" s="96" t="s">
        <v>6</v>
      </c>
      <c r="D3" s="96">
        <v>20</v>
      </c>
      <c r="E3" s="96"/>
      <c r="F3" s="96"/>
      <c r="G3" s="96"/>
      <c r="H3" s="102">
        <f>F3*D3</f>
        <v>0</v>
      </c>
      <c r="I3" s="98">
        <f t="shared" ref="I3:I8" si="0">F3*D3</f>
        <v>0</v>
      </c>
      <c r="J3" s="98">
        <f t="shared" ref="J3:J8" si="1">(D3*4)-I3</f>
        <v>80</v>
      </c>
      <c r="K3" s="96"/>
      <c r="L3" s="96"/>
      <c r="M3" s="7"/>
    </row>
    <row r="4" spans="1:19" ht="77.5" x14ac:dyDescent="0.35">
      <c r="A4" s="123">
        <v>2</v>
      </c>
      <c r="B4" s="138" t="s">
        <v>68</v>
      </c>
      <c r="C4" s="9" t="s">
        <v>1</v>
      </c>
      <c r="D4" s="9">
        <v>15</v>
      </c>
      <c r="E4" s="123">
        <v>27</v>
      </c>
      <c r="F4" s="9">
        <v>4</v>
      </c>
      <c r="G4" s="9">
        <f>F4*D4</f>
        <v>60</v>
      </c>
      <c r="H4" s="9"/>
      <c r="I4" s="7">
        <f t="shared" si="0"/>
        <v>60</v>
      </c>
      <c r="J4" s="7">
        <f t="shared" si="1"/>
        <v>0</v>
      </c>
      <c r="K4" s="9" t="s">
        <v>199</v>
      </c>
      <c r="L4" s="9" t="s">
        <v>200</v>
      </c>
      <c r="M4" s="7"/>
    </row>
    <row r="5" spans="1:19" ht="216" customHeight="1" x14ac:dyDescent="0.35">
      <c r="A5" s="123">
        <v>3</v>
      </c>
      <c r="B5" s="138" t="s">
        <v>69</v>
      </c>
      <c r="C5" s="9" t="s">
        <v>1</v>
      </c>
      <c r="D5" s="9">
        <v>15</v>
      </c>
      <c r="E5" s="126">
        <f>(1173/1173)</f>
        <v>1</v>
      </c>
      <c r="F5" s="9">
        <v>4</v>
      </c>
      <c r="G5" s="9">
        <f>F5*D5</f>
        <v>60</v>
      </c>
      <c r="H5" s="9"/>
      <c r="I5" s="7">
        <f t="shared" si="0"/>
        <v>60</v>
      </c>
      <c r="J5" s="7">
        <f t="shared" si="1"/>
        <v>0</v>
      </c>
      <c r="K5" s="132" t="s">
        <v>225</v>
      </c>
      <c r="L5" s="9" t="s">
        <v>203</v>
      </c>
      <c r="M5" s="31" t="s">
        <v>230</v>
      </c>
    </row>
    <row r="6" spans="1:19" ht="62" x14ac:dyDescent="0.35">
      <c r="A6" s="9">
        <v>4</v>
      </c>
      <c r="B6" s="137" t="s">
        <v>70</v>
      </c>
      <c r="C6" s="96" t="s">
        <v>6</v>
      </c>
      <c r="D6" s="96">
        <v>10</v>
      </c>
      <c r="E6" s="96"/>
      <c r="F6" s="96"/>
      <c r="G6" s="9"/>
      <c r="H6" s="102">
        <f>D6*F6</f>
        <v>0</v>
      </c>
      <c r="I6" s="7">
        <f t="shared" si="0"/>
        <v>0</v>
      </c>
      <c r="J6" s="7">
        <f t="shared" si="1"/>
        <v>40</v>
      </c>
      <c r="K6" s="9"/>
      <c r="L6" s="9"/>
      <c r="M6" s="7"/>
    </row>
    <row r="7" spans="1:19" ht="108" customHeight="1" x14ac:dyDescent="0.35">
      <c r="A7" s="123">
        <v>5</v>
      </c>
      <c r="B7" s="138" t="s">
        <v>71</v>
      </c>
      <c r="C7" s="9" t="s">
        <v>1</v>
      </c>
      <c r="D7" s="9">
        <v>20</v>
      </c>
      <c r="E7" s="124">
        <f>267/334</f>
        <v>0.79940119760479045</v>
      </c>
      <c r="F7" s="9">
        <v>4</v>
      </c>
      <c r="G7" s="9">
        <f>F7*D7</f>
        <v>80</v>
      </c>
      <c r="H7" s="9"/>
      <c r="I7" s="7">
        <f t="shared" si="0"/>
        <v>80</v>
      </c>
      <c r="J7" s="7">
        <f t="shared" si="1"/>
        <v>0</v>
      </c>
      <c r="K7" s="132" t="s">
        <v>204</v>
      </c>
      <c r="L7" s="9" t="s">
        <v>205</v>
      </c>
      <c r="M7" s="7"/>
    </row>
    <row r="8" spans="1:19" ht="248" x14ac:dyDescent="0.35">
      <c r="A8" s="133">
        <v>6</v>
      </c>
      <c r="B8" s="139" t="s">
        <v>72</v>
      </c>
      <c r="C8" s="9" t="s">
        <v>1</v>
      </c>
      <c r="D8" s="9">
        <v>20</v>
      </c>
      <c r="E8" s="123" t="s">
        <v>164</v>
      </c>
      <c r="F8" s="9">
        <v>1</v>
      </c>
      <c r="G8" s="5">
        <f>F8*D8</f>
        <v>20</v>
      </c>
      <c r="H8" s="5"/>
      <c r="I8" s="8">
        <f t="shared" si="0"/>
        <v>20</v>
      </c>
      <c r="J8" s="8">
        <f t="shared" si="1"/>
        <v>60</v>
      </c>
      <c r="K8" s="5"/>
      <c r="L8" s="5" t="s">
        <v>165</v>
      </c>
      <c r="M8" s="7" t="s">
        <v>171</v>
      </c>
    </row>
    <row r="9" spans="1:19" x14ac:dyDescent="0.35">
      <c r="A9" s="28"/>
      <c r="B9" s="140"/>
      <c r="C9" s="28"/>
      <c r="D9" s="103">
        <f>SUM(D3:D8)</f>
        <v>100</v>
      </c>
      <c r="E9" s="103">
        <f>D9*4</f>
        <v>400</v>
      </c>
      <c r="F9" s="30"/>
      <c r="G9" s="30">
        <f>SUM(G3:G8)</f>
        <v>220</v>
      </c>
      <c r="H9" s="30">
        <f>SUM(H3:H8)</f>
        <v>0</v>
      </c>
      <c r="I9" s="30">
        <f>SUM(I3:I8)</f>
        <v>220</v>
      </c>
      <c r="J9" s="30">
        <f>SUM(J3:J8)</f>
        <v>180</v>
      </c>
      <c r="K9" s="103"/>
      <c r="L9" s="103"/>
      <c r="M9" s="32">
        <f>I9/D9</f>
        <v>2.2000000000000002</v>
      </c>
    </row>
    <row r="10" spans="1:19" ht="30" x14ac:dyDescent="0.35">
      <c r="A10" s="93" t="s">
        <v>143</v>
      </c>
      <c r="B10" s="81" t="s">
        <v>137</v>
      </c>
      <c r="C10" s="81" t="s">
        <v>4</v>
      </c>
      <c r="D10" s="81" t="s">
        <v>5</v>
      </c>
      <c r="E10" s="81" t="s">
        <v>0</v>
      </c>
      <c r="F10" s="81" t="s">
        <v>7</v>
      </c>
      <c r="G10" s="81" t="s">
        <v>22</v>
      </c>
      <c r="H10" s="81" t="s">
        <v>21</v>
      </c>
      <c r="I10" s="81" t="s">
        <v>2</v>
      </c>
      <c r="J10" s="81" t="s">
        <v>3</v>
      </c>
      <c r="K10" s="81"/>
      <c r="L10" s="81"/>
      <c r="M10" s="81" t="s">
        <v>8</v>
      </c>
    </row>
    <row r="11" spans="1:19" ht="77.5" x14ac:dyDescent="0.35">
      <c r="A11" s="123">
        <f>A8+1</f>
        <v>7</v>
      </c>
      <c r="B11" s="138" t="s">
        <v>76</v>
      </c>
      <c r="C11" s="9" t="s">
        <v>1</v>
      </c>
      <c r="D11" s="9">
        <v>20</v>
      </c>
      <c r="E11" s="124">
        <v>0.62</v>
      </c>
      <c r="F11" s="9">
        <v>3</v>
      </c>
      <c r="G11" s="9">
        <f>F11*D11</f>
        <v>60</v>
      </c>
      <c r="H11" s="9"/>
      <c r="I11" s="7">
        <f t="shared" ref="I11:I21" si="2">F11*D11</f>
        <v>60</v>
      </c>
      <c r="J11" s="7">
        <f t="shared" ref="J11:J21" si="3">(D11*4)-I11</f>
        <v>20</v>
      </c>
      <c r="K11" s="9" t="s">
        <v>206</v>
      </c>
      <c r="L11" s="9" t="s">
        <v>207</v>
      </c>
      <c r="M11" s="7" t="s">
        <v>183</v>
      </c>
    </row>
    <row r="12" spans="1:19" ht="93" x14ac:dyDescent="0.35">
      <c r="A12" s="123">
        <f>A11+1</f>
        <v>8</v>
      </c>
      <c r="B12" s="138" t="s">
        <v>77</v>
      </c>
      <c r="C12" s="9" t="s">
        <v>1</v>
      </c>
      <c r="D12" s="9">
        <v>20</v>
      </c>
      <c r="E12" s="124">
        <f>27/28</f>
        <v>0.9642857142857143</v>
      </c>
      <c r="F12" s="9">
        <v>4</v>
      </c>
      <c r="G12" s="9">
        <f>F12*D12</f>
        <v>80</v>
      </c>
      <c r="H12" s="9"/>
      <c r="I12" s="7">
        <f t="shared" si="2"/>
        <v>80</v>
      </c>
      <c r="J12" s="7">
        <f t="shared" si="3"/>
        <v>0</v>
      </c>
      <c r="K12" s="135" t="s">
        <v>208</v>
      </c>
      <c r="L12" s="9"/>
      <c r="M12" s="7" t="s">
        <v>184</v>
      </c>
    </row>
    <row r="13" spans="1:19" ht="31" x14ac:dyDescent="0.35">
      <c r="A13" s="123">
        <f t="shared" ref="A13:A21" si="4">A12+1</f>
        <v>9</v>
      </c>
      <c r="B13" s="138" t="s">
        <v>78</v>
      </c>
      <c r="C13" s="9" t="s">
        <v>1</v>
      </c>
      <c r="D13" s="9">
        <v>40</v>
      </c>
      <c r="E13" s="125">
        <v>5.5555555555555552E-2</v>
      </c>
      <c r="F13" s="9">
        <v>4</v>
      </c>
      <c r="G13" s="9">
        <f>F13*D13</f>
        <v>160</v>
      </c>
      <c r="H13" s="9"/>
      <c r="I13" s="7">
        <f t="shared" si="2"/>
        <v>160</v>
      </c>
      <c r="J13" s="7">
        <f t="shared" si="3"/>
        <v>0</v>
      </c>
      <c r="K13" s="136" t="s">
        <v>210</v>
      </c>
      <c r="L13" t="s">
        <v>209</v>
      </c>
      <c r="M13" s="7"/>
    </row>
    <row r="14" spans="1:19" ht="62" x14ac:dyDescent="0.35">
      <c r="A14" s="9">
        <f t="shared" si="4"/>
        <v>10</v>
      </c>
      <c r="B14" s="137" t="s">
        <v>79</v>
      </c>
      <c r="C14" s="96" t="s">
        <v>6</v>
      </c>
      <c r="D14" s="96">
        <v>40</v>
      </c>
      <c r="E14" s="96"/>
      <c r="F14" s="96"/>
      <c r="G14" s="9"/>
      <c r="H14" s="102">
        <f>F14*D14</f>
        <v>0</v>
      </c>
      <c r="I14" s="7">
        <f t="shared" si="2"/>
        <v>0</v>
      </c>
      <c r="J14" s="7">
        <f t="shared" si="3"/>
        <v>160</v>
      </c>
      <c r="K14" s="9"/>
      <c r="L14" s="9"/>
      <c r="M14" s="7"/>
    </row>
    <row r="15" spans="1:19" ht="62" x14ac:dyDescent="0.35">
      <c r="A15" s="123">
        <f t="shared" si="4"/>
        <v>11</v>
      </c>
      <c r="B15" s="138" t="s">
        <v>80</v>
      </c>
      <c r="C15" s="9" t="s">
        <v>1</v>
      </c>
      <c r="D15" s="9">
        <v>15</v>
      </c>
      <c r="E15" s="126">
        <v>1</v>
      </c>
      <c r="F15" s="9">
        <v>4</v>
      </c>
      <c r="G15" s="9">
        <f>F15*D15</f>
        <v>60</v>
      </c>
      <c r="H15" s="9"/>
      <c r="I15" s="7">
        <f t="shared" si="2"/>
        <v>60</v>
      </c>
      <c r="J15" s="7">
        <f t="shared" si="3"/>
        <v>0</v>
      </c>
      <c r="K15" s="9" t="s">
        <v>211</v>
      </c>
      <c r="L15" s="9" t="s">
        <v>236</v>
      </c>
      <c r="M15" s="7"/>
    </row>
    <row r="16" spans="1:19" ht="62" x14ac:dyDescent="0.35">
      <c r="A16" s="123">
        <f t="shared" si="4"/>
        <v>12</v>
      </c>
      <c r="B16" s="138" t="s">
        <v>81</v>
      </c>
      <c r="C16" s="9" t="s">
        <v>1</v>
      </c>
      <c r="D16" s="9">
        <v>25</v>
      </c>
      <c r="E16" s="126">
        <f>33/70</f>
        <v>0.47142857142857142</v>
      </c>
      <c r="F16" s="9">
        <v>1</v>
      </c>
      <c r="G16" s="9">
        <f>F16*D16</f>
        <v>25</v>
      </c>
      <c r="H16" s="9"/>
      <c r="I16" s="7">
        <f t="shared" si="2"/>
        <v>25</v>
      </c>
      <c r="J16" s="7">
        <f t="shared" si="3"/>
        <v>75</v>
      </c>
      <c r="K16" s="132" t="s">
        <v>212</v>
      </c>
      <c r="L16" s="9" t="s">
        <v>237</v>
      </c>
      <c r="M16" s="7"/>
    </row>
    <row r="17" spans="1:13" ht="46.5" x14ac:dyDescent="0.35">
      <c r="A17" s="9">
        <f t="shared" si="4"/>
        <v>13</v>
      </c>
      <c r="B17" s="137" t="s">
        <v>82</v>
      </c>
      <c r="C17" s="96" t="s">
        <v>6</v>
      </c>
      <c r="D17" s="96">
        <v>40</v>
      </c>
      <c r="E17" s="96"/>
      <c r="F17" s="96"/>
      <c r="G17" s="9"/>
      <c r="H17" s="102">
        <f>F17*D17</f>
        <v>0</v>
      </c>
      <c r="I17" s="7">
        <f t="shared" si="2"/>
        <v>0</v>
      </c>
      <c r="J17" s="7">
        <f t="shared" si="3"/>
        <v>160</v>
      </c>
      <c r="K17" s="9"/>
      <c r="L17" s="9"/>
      <c r="M17" s="7"/>
    </row>
    <row r="18" spans="1:13" ht="62" x14ac:dyDescent="0.35">
      <c r="A18" s="9">
        <f t="shared" si="4"/>
        <v>14</v>
      </c>
      <c r="B18" s="137" t="s">
        <v>83</v>
      </c>
      <c r="C18" s="96" t="s">
        <v>6</v>
      </c>
      <c r="D18" s="96">
        <v>25</v>
      </c>
      <c r="E18" s="96"/>
      <c r="F18" s="96"/>
      <c r="G18" s="9"/>
      <c r="H18" s="102">
        <f t="shared" ref="H18:H19" si="5">F18*D18</f>
        <v>0</v>
      </c>
      <c r="I18" s="7">
        <f t="shared" si="2"/>
        <v>0</v>
      </c>
      <c r="J18" s="7">
        <f t="shared" si="3"/>
        <v>100</v>
      </c>
      <c r="K18" s="9"/>
      <c r="L18" s="9"/>
      <c r="M18" s="7"/>
    </row>
    <row r="19" spans="1:13" ht="31" x14ac:dyDescent="0.35">
      <c r="A19" s="9">
        <f t="shared" si="4"/>
        <v>15</v>
      </c>
      <c r="B19" s="137" t="s">
        <v>84</v>
      </c>
      <c r="C19" s="96" t="s">
        <v>6</v>
      </c>
      <c r="D19" s="96">
        <v>20</v>
      </c>
      <c r="E19" s="96"/>
      <c r="F19" s="96"/>
      <c r="G19" s="9"/>
      <c r="H19" s="102">
        <f t="shared" si="5"/>
        <v>0</v>
      </c>
      <c r="I19" s="7">
        <f t="shared" si="2"/>
        <v>0</v>
      </c>
      <c r="J19" s="7">
        <f t="shared" si="3"/>
        <v>80</v>
      </c>
      <c r="K19" s="9"/>
      <c r="L19" s="9"/>
      <c r="M19" s="7"/>
    </row>
    <row r="20" spans="1:13" ht="77.5" x14ac:dyDescent="0.35">
      <c r="A20" s="123">
        <f t="shared" si="4"/>
        <v>16</v>
      </c>
      <c r="B20" s="138" t="s">
        <v>85</v>
      </c>
      <c r="C20" s="9" t="s">
        <v>1</v>
      </c>
      <c r="D20" s="9">
        <v>45</v>
      </c>
      <c r="E20" s="124">
        <f>129/167</f>
        <v>0.77245508982035926</v>
      </c>
      <c r="F20" s="9">
        <v>2</v>
      </c>
      <c r="G20" s="9">
        <f>F20*D20</f>
        <v>90</v>
      </c>
      <c r="H20" s="9"/>
      <c r="I20" s="7">
        <f t="shared" si="2"/>
        <v>90</v>
      </c>
      <c r="J20" s="7">
        <f t="shared" si="3"/>
        <v>90</v>
      </c>
      <c r="K20" s="132" t="s">
        <v>213</v>
      </c>
      <c r="L20" s="9"/>
      <c r="M20" s="7" t="s">
        <v>166</v>
      </c>
    </row>
    <row r="21" spans="1:13" ht="46.5" x14ac:dyDescent="0.35">
      <c r="A21" s="121">
        <f t="shared" si="4"/>
        <v>17</v>
      </c>
      <c r="B21" s="138" t="s">
        <v>86</v>
      </c>
      <c r="C21" s="9" t="s">
        <v>1</v>
      </c>
      <c r="D21" s="9">
        <v>60</v>
      </c>
      <c r="E21" s="121"/>
      <c r="F21" s="9">
        <v>3</v>
      </c>
      <c r="G21" s="9">
        <f>F21*D21</f>
        <v>180</v>
      </c>
      <c r="H21" s="9"/>
      <c r="I21" s="7">
        <f t="shared" si="2"/>
        <v>180</v>
      </c>
      <c r="J21" s="7">
        <f t="shared" si="3"/>
        <v>60</v>
      </c>
      <c r="K21" s="9"/>
      <c r="L21" s="9"/>
      <c r="M21" s="7" t="s">
        <v>238</v>
      </c>
    </row>
    <row r="22" spans="1:13" x14ac:dyDescent="0.35">
      <c r="A22" s="29"/>
      <c r="B22" s="140"/>
      <c r="C22" s="30"/>
      <c r="D22" s="30">
        <f>SUM(D11:D21)</f>
        <v>350</v>
      </c>
      <c r="E22" s="30">
        <f>D22*4</f>
        <v>1400</v>
      </c>
      <c r="F22" s="30"/>
      <c r="G22" s="30">
        <f>SUM(G11:G21)</f>
        <v>655</v>
      </c>
      <c r="H22" s="30">
        <f>SUM(H11:H21)</f>
        <v>0</v>
      </c>
      <c r="I22" s="30">
        <f>SUM(I11:I21)</f>
        <v>655</v>
      </c>
      <c r="J22" s="30">
        <f>SUM(J11:J21)</f>
        <v>745</v>
      </c>
      <c r="K22" s="103"/>
      <c r="L22" s="103"/>
      <c r="M22" s="32">
        <f>I22/D22</f>
        <v>1.8714285714285714</v>
      </c>
    </row>
    <row r="23" spans="1:13" ht="30" x14ac:dyDescent="0.35">
      <c r="A23" s="93" t="s">
        <v>143</v>
      </c>
      <c r="B23" s="81" t="s">
        <v>138</v>
      </c>
      <c r="C23" s="81" t="s">
        <v>4</v>
      </c>
      <c r="D23" s="81" t="s">
        <v>5</v>
      </c>
      <c r="E23" s="81" t="s">
        <v>0</v>
      </c>
      <c r="F23" s="81" t="s">
        <v>7</v>
      </c>
      <c r="G23" s="81" t="s">
        <v>22</v>
      </c>
      <c r="H23" s="81" t="s">
        <v>21</v>
      </c>
      <c r="I23" s="81" t="s">
        <v>2</v>
      </c>
      <c r="J23" s="81" t="s">
        <v>3</v>
      </c>
      <c r="K23" s="81"/>
      <c r="L23" s="81"/>
      <c r="M23" s="81" t="s">
        <v>8</v>
      </c>
    </row>
    <row r="24" spans="1:13" ht="77.5" x14ac:dyDescent="0.35">
      <c r="A24" s="123">
        <f>A21+1</f>
        <v>18</v>
      </c>
      <c r="B24" s="138" t="s">
        <v>87</v>
      </c>
      <c r="C24" s="9" t="s">
        <v>1</v>
      </c>
      <c r="D24" s="9">
        <v>10</v>
      </c>
      <c r="E24" s="123">
        <v>1</v>
      </c>
      <c r="F24" s="9">
        <v>1</v>
      </c>
      <c r="G24" s="9">
        <f>F24*D24</f>
        <v>10</v>
      </c>
      <c r="H24" s="9"/>
      <c r="I24" s="7">
        <f t="shared" ref="I24:I32" si="6">D24*F24</f>
        <v>10</v>
      </c>
      <c r="J24" s="7">
        <f t="shared" ref="J24:J32" si="7">(D24*4)-I24</f>
        <v>30</v>
      </c>
      <c r="K24" s="9" t="s">
        <v>214</v>
      </c>
      <c r="L24" s="9" t="s">
        <v>226</v>
      </c>
      <c r="M24" s="7"/>
    </row>
    <row r="25" spans="1:13" ht="108.5" x14ac:dyDescent="0.35">
      <c r="A25" s="9">
        <f>A24+1</f>
        <v>19</v>
      </c>
      <c r="B25" s="137" t="s">
        <v>152</v>
      </c>
      <c r="C25" s="96" t="s">
        <v>6</v>
      </c>
      <c r="D25" s="96">
        <v>10</v>
      </c>
      <c r="E25" s="96"/>
      <c r="F25" s="96"/>
      <c r="G25" s="9"/>
      <c r="H25" s="102">
        <f>F25*D25</f>
        <v>0</v>
      </c>
      <c r="I25" s="7">
        <f t="shared" si="6"/>
        <v>0</v>
      </c>
      <c r="J25" s="7">
        <f t="shared" si="7"/>
        <v>40</v>
      </c>
      <c r="K25" s="9"/>
      <c r="L25" s="9"/>
      <c r="M25" s="7"/>
    </row>
    <row r="26" spans="1:13" ht="62" x14ac:dyDescent="0.35">
      <c r="A26" s="123">
        <f t="shared" ref="A26:A32" si="8">A25+1</f>
        <v>20</v>
      </c>
      <c r="B26" s="138" t="s">
        <v>89</v>
      </c>
      <c r="C26" s="9" t="s">
        <v>1</v>
      </c>
      <c r="D26" s="9">
        <v>5</v>
      </c>
      <c r="E26" s="123">
        <v>49</v>
      </c>
      <c r="F26" s="9">
        <v>4</v>
      </c>
      <c r="G26" s="9">
        <f>F26*D26</f>
        <v>20</v>
      </c>
      <c r="H26" s="9"/>
      <c r="I26" s="7">
        <f t="shared" si="6"/>
        <v>20</v>
      </c>
      <c r="J26" s="7">
        <f t="shared" si="7"/>
        <v>0</v>
      </c>
      <c r="K26" s="9" t="s">
        <v>215</v>
      </c>
      <c r="L26" s="9" t="s">
        <v>185</v>
      </c>
      <c r="M26" s="7"/>
    </row>
    <row r="27" spans="1:13" ht="77.5" x14ac:dyDescent="0.35">
      <c r="A27" s="123">
        <f t="shared" si="8"/>
        <v>21</v>
      </c>
      <c r="B27" s="138" t="s">
        <v>90</v>
      </c>
      <c r="C27" s="9" t="s">
        <v>1</v>
      </c>
      <c r="D27" s="9">
        <v>10</v>
      </c>
      <c r="E27" s="123">
        <v>0.16</v>
      </c>
      <c r="F27" s="9">
        <v>1</v>
      </c>
      <c r="G27" s="9">
        <f>F27*D27</f>
        <v>10</v>
      </c>
      <c r="H27" s="9"/>
      <c r="I27" s="7">
        <f t="shared" si="6"/>
        <v>10</v>
      </c>
      <c r="J27" s="7">
        <f t="shared" si="7"/>
        <v>30</v>
      </c>
      <c r="K27" s="9" t="s">
        <v>215</v>
      </c>
      <c r="L27" s="7" t="s">
        <v>167</v>
      </c>
      <c r="M27" s="7" t="s">
        <v>167</v>
      </c>
    </row>
    <row r="28" spans="1:13" ht="62" x14ac:dyDescent="0.35">
      <c r="A28" s="123">
        <f t="shared" si="8"/>
        <v>22</v>
      </c>
      <c r="B28" s="138" t="s">
        <v>91</v>
      </c>
      <c r="C28" s="9" t="s">
        <v>1</v>
      </c>
      <c r="D28" s="9">
        <v>15</v>
      </c>
      <c r="E28" s="123">
        <v>0.64</v>
      </c>
      <c r="F28" s="9">
        <v>1</v>
      </c>
      <c r="G28" s="9">
        <f>F28*D28</f>
        <v>15</v>
      </c>
      <c r="H28" s="9"/>
      <c r="I28" s="7">
        <f t="shared" si="6"/>
        <v>15</v>
      </c>
      <c r="J28" s="7">
        <f t="shared" si="7"/>
        <v>45</v>
      </c>
      <c r="K28" s="9" t="s">
        <v>215</v>
      </c>
      <c r="L28" s="7" t="s">
        <v>233</v>
      </c>
      <c r="M28" s="7" t="s">
        <v>234</v>
      </c>
    </row>
    <row r="29" spans="1:13" ht="62" x14ac:dyDescent="0.35">
      <c r="A29" s="9">
        <f t="shared" si="8"/>
        <v>23</v>
      </c>
      <c r="B29" s="137" t="s">
        <v>153</v>
      </c>
      <c r="C29" s="96" t="s">
        <v>6</v>
      </c>
      <c r="D29" s="96">
        <v>15</v>
      </c>
      <c r="E29" s="96"/>
      <c r="F29" s="96"/>
      <c r="G29" s="9"/>
      <c r="H29" s="102">
        <f>F29*D29</f>
        <v>0</v>
      </c>
      <c r="I29" s="7">
        <f t="shared" si="6"/>
        <v>0</v>
      </c>
      <c r="J29" s="7">
        <f t="shared" si="7"/>
        <v>60</v>
      </c>
      <c r="K29" s="9"/>
      <c r="L29" s="9"/>
      <c r="M29" s="7"/>
    </row>
    <row r="30" spans="1:13" ht="46.5" x14ac:dyDescent="0.35">
      <c r="A30" s="9">
        <f t="shared" si="8"/>
        <v>24</v>
      </c>
      <c r="B30" s="137" t="s">
        <v>93</v>
      </c>
      <c r="C30" s="96" t="s">
        <v>6</v>
      </c>
      <c r="D30" s="96">
        <v>5</v>
      </c>
      <c r="E30" s="96"/>
      <c r="F30" s="96"/>
      <c r="G30" s="9"/>
      <c r="H30" s="102">
        <f>F30*D30</f>
        <v>0</v>
      </c>
      <c r="I30" s="7">
        <f t="shared" si="6"/>
        <v>0</v>
      </c>
      <c r="J30" s="7">
        <f t="shared" si="7"/>
        <v>20</v>
      </c>
      <c r="K30" s="9"/>
      <c r="L30" s="9"/>
      <c r="M30" s="7"/>
    </row>
    <row r="31" spans="1:13" ht="108.5" x14ac:dyDescent="0.35">
      <c r="A31" s="123">
        <f t="shared" si="8"/>
        <v>25</v>
      </c>
      <c r="B31" s="138" t="s">
        <v>94</v>
      </c>
      <c r="C31" s="9" t="s">
        <v>1</v>
      </c>
      <c r="D31" s="9">
        <v>20</v>
      </c>
      <c r="E31" s="123">
        <v>11</v>
      </c>
      <c r="F31" s="9">
        <v>2</v>
      </c>
      <c r="G31" s="9">
        <f>F31*D31</f>
        <v>40</v>
      </c>
      <c r="H31" s="9"/>
      <c r="I31" s="7">
        <f t="shared" si="6"/>
        <v>40</v>
      </c>
      <c r="J31" s="7">
        <f t="shared" si="7"/>
        <v>40</v>
      </c>
      <c r="K31" s="9" t="s">
        <v>215</v>
      </c>
      <c r="L31" s="9" t="s">
        <v>186</v>
      </c>
      <c r="M31" s="7"/>
    </row>
    <row r="32" spans="1:13" ht="77.5" x14ac:dyDescent="0.35">
      <c r="A32" s="123">
        <f t="shared" si="8"/>
        <v>26</v>
      </c>
      <c r="B32" s="138" t="s">
        <v>154</v>
      </c>
      <c r="C32" s="9" t="s">
        <v>1</v>
      </c>
      <c r="D32" s="9">
        <v>20</v>
      </c>
      <c r="E32" s="123">
        <v>32</v>
      </c>
      <c r="F32" s="9">
        <v>4</v>
      </c>
      <c r="G32" s="9">
        <f>F32*D32</f>
        <v>80</v>
      </c>
      <c r="H32" s="9"/>
      <c r="I32" s="7">
        <f t="shared" si="6"/>
        <v>80</v>
      </c>
      <c r="J32" s="7">
        <f t="shared" si="7"/>
        <v>0</v>
      </c>
      <c r="K32" s="9" t="s">
        <v>215</v>
      </c>
      <c r="L32" s="9" t="s">
        <v>187</v>
      </c>
      <c r="M32" s="7"/>
    </row>
    <row r="33" spans="1:13" x14ac:dyDescent="0.35">
      <c r="A33" s="30"/>
      <c r="B33" s="103"/>
      <c r="C33" s="30"/>
      <c r="D33" s="30">
        <f>SUM(D24:D32)</f>
        <v>110</v>
      </c>
      <c r="E33" s="30">
        <f>D33*4</f>
        <v>440</v>
      </c>
      <c r="F33" s="30"/>
      <c r="G33" s="30">
        <f>SUM(G24:G32)</f>
        <v>175</v>
      </c>
      <c r="H33" s="30">
        <f>SUM(H24:H32)</f>
        <v>0</v>
      </c>
      <c r="I33" s="30">
        <f>SUM(I24:I32)</f>
        <v>175</v>
      </c>
      <c r="J33" s="30">
        <f>SUM(J24:J32)</f>
        <v>265</v>
      </c>
      <c r="K33" s="103"/>
      <c r="L33" s="103"/>
      <c r="M33" s="32">
        <f>I33/D33</f>
        <v>1.5909090909090908</v>
      </c>
    </row>
    <row r="34" spans="1:13" ht="30" x14ac:dyDescent="0.35">
      <c r="A34" s="93" t="s">
        <v>143</v>
      </c>
      <c r="B34" s="81" t="s">
        <v>139</v>
      </c>
      <c r="C34" s="81" t="s">
        <v>4</v>
      </c>
      <c r="D34" s="81" t="s">
        <v>5</v>
      </c>
      <c r="E34" s="81" t="s">
        <v>0</v>
      </c>
      <c r="F34" s="81" t="s">
        <v>7</v>
      </c>
      <c r="G34" s="81" t="s">
        <v>22</v>
      </c>
      <c r="H34" s="81" t="s">
        <v>21</v>
      </c>
      <c r="I34" s="81" t="s">
        <v>2</v>
      </c>
      <c r="J34" s="81" t="s">
        <v>3</v>
      </c>
      <c r="K34" s="81"/>
      <c r="L34" s="81"/>
      <c r="M34" s="81" t="s">
        <v>8</v>
      </c>
    </row>
    <row r="35" spans="1:13" ht="155" x14ac:dyDescent="0.35">
      <c r="A35" s="9">
        <f>A32+1</f>
        <v>27</v>
      </c>
      <c r="B35" s="137" t="s">
        <v>155</v>
      </c>
      <c r="C35" s="96" t="s">
        <v>6</v>
      </c>
      <c r="D35" s="96">
        <v>20</v>
      </c>
      <c r="E35" s="96"/>
      <c r="F35" s="96"/>
      <c r="G35" s="9"/>
      <c r="H35" s="102">
        <f>F35*D35</f>
        <v>0</v>
      </c>
      <c r="I35" s="7">
        <f t="shared" ref="I35:I40" si="9">D35*F35</f>
        <v>0</v>
      </c>
      <c r="J35" s="7">
        <f t="shared" ref="J35:J40" si="10">(D35*4)-I35</f>
        <v>80</v>
      </c>
    </row>
    <row r="36" spans="1:13" ht="93" x14ac:dyDescent="0.35">
      <c r="A36" s="123">
        <f>A35+1</f>
        <v>28</v>
      </c>
      <c r="B36" s="138" t="s">
        <v>97</v>
      </c>
      <c r="C36" s="9" t="s">
        <v>1</v>
      </c>
      <c r="D36" s="9">
        <v>10</v>
      </c>
      <c r="E36" s="124">
        <v>0.36799999999999999</v>
      </c>
      <c r="F36" s="9">
        <v>4</v>
      </c>
      <c r="G36" s="9">
        <f>F36*D36</f>
        <v>40</v>
      </c>
      <c r="H36" s="9"/>
      <c r="I36" s="7">
        <f t="shared" si="9"/>
        <v>40</v>
      </c>
      <c r="J36" s="7">
        <f t="shared" si="10"/>
        <v>0</v>
      </c>
      <c r="K36" s="9" t="s">
        <v>201</v>
      </c>
      <c r="L36" s="9" t="s">
        <v>202</v>
      </c>
      <c r="M36" s="7"/>
    </row>
    <row r="37" spans="1:13" ht="77.5" x14ac:dyDescent="0.35">
      <c r="A37" s="9">
        <f t="shared" ref="A37:A40" si="11">A36+1</f>
        <v>29</v>
      </c>
      <c r="B37" s="137" t="s">
        <v>156</v>
      </c>
      <c r="C37" s="96" t="s">
        <v>6</v>
      </c>
      <c r="D37" s="96">
        <v>20</v>
      </c>
      <c r="E37" s="96"/>
      <c r="F37" s="96"/>
      <c r="G37" s="9"/>
      <c r="H37" s="102">
        <f>F37*D37</f>
        <v>0</v>
      </c>
      <c r="I37" s="7">
        <f t="shared" si="9"/>
        <v>0</v>
      </c>
      <c r="J37" s="7">
        <f t="shared" si="10"/>
        <v>80</v>
      </c>
      <c r="K37" s="9"/>
      <c r="L37" s="9"/>
      <c r="M37" s="7"/>
    </row>
    <row r="38" spans="1:13" ht="46.5" x14ac:dyDescent="0.35">
      <c r="A38" s="9">
        <f t="shared" si="11"/>
        <v>30</v>
      </c>
      <c r="B38" s="137" t="s">
        <v>99</v>
      </c>
      <c r="C38" s="96" t="s">
        <v>6</v>
      </c>
      <c r="D38" s="96">
        <v>20</v>
      </c>
      <c r="E38" s="96"/>
      <c r="F38" s="96"/>
      <c r="G38" s="9"/>
      <c r="H38" s="102">
        <f>F38*D38</f>
        <v>0</v>
      </c>
      <c r="I38" s="7">
        <f t="shared" si="9"/>
        <v>0</v>
      </c>
      <c r="J38" s="7">
        <f t="shared" si="10"/>
        <v>80</v>
      </c>
      <c r="K38" s="9"/>
      <c r="L38" s="9"/>
      <c r="M38" s="7"/>
    </row>
    <row r="39" spans="1:13" ht="31" x14ac:dyDescent="0.35">
      <c r="A39" s="123">
        <f t="shared" si="11"/>
        <v>31</v>
      </c>
      <c r="B39" s="138" t="s">
        <v>100</v>
      </c>
      <c r="C39" s="9" t="s">
        <v>1</v>
      </c>
      <c r="D39" s="9">
        <v>10</v>
      </c>
      <c r="E39" s="125">
        <v>0.1673611111111111</v>
      </c>
      <c r="F39" s="9">
        <v>4</v>
      </c>
      <c r="G39" s="9">
        <f>F39*D39</f>
        <v>40</v>
      </c>
      <c r="H39" s="9"/>
      <c r="I39" s="7">
        <f t="shared" si="9"/>
        <v>40</v>
      </c>
      <c r="J39" s="7">
        <f t="shared" si="10"/>
        <v>0</v>
      </c>
      <c r="K39" s="7" t="s">
        <v>216</v>
      </c>
      <c r="L39" s="7" t="s">
        <v>189</v>
      </c>
      <c r="M39" s="7" t="s">
        <v>189</v>
      </c>
    </row>
    <row r="40" spans="1:13" ht="124" x14ac:dyDescent="0.35">
      <c r="A40" s="123">
        <f t="shared" si="11"/>
        <v>32</v>
      </c>
      <c r="B40" s="138" t="s">
        <v>157</v>
      </c>
      <c r="C40" s="9" t="s">
        <v>1</v>
      </c>
      <c r="D40" s="9">
        <v>20</v>
      </c>
      <c r="E40" s="124">
        <v>0.25</v>
      </c>
      <c r="F40" s="9">
        <v>4</v>
      </c>
      <c r="G40" s="9">
        <f>F40*D40</f>
        <v>80</v>
      </c>
      <c r="H40" s="9"/>
      <c r="I40" s="7">
        <f t="shared" si="9"/>
        <v>80</v>
      </c>
      <c r="J40" s="7">
        <f t="shared" si="10"/>
        <v>0</v>
      </c>
      <c r="K40" s="9" t="s">
        <v>217</v>
      </c>
      <c r="L40" s="7" t="s">
        <v>188</v>
      </c>
      <c r="M40" s="7" t="s">
        <v>188</v>
      </c>
    </row>
    <row r="41" spans="1:13" x14ac:dyDescent="0.35">
      <c r="A41" s="30"/>
      <c r="B41" s="103"/>
      <c r="C41" s="30"/>
      <c r="D41" s="30">
        <f>SUM(D35:D40)</f>
        <v>100</v>
      </c>
      <c r="E41" s="30">
        <f>D41*4</f>
        <v>400</v>
      </c>
      <c r="F41" s="30"/>
      <c r="G41" s="30">
        <f>SUM(G35:G40)</f>
        <v>160</v>
      </c>
      <c r="H41" s="30">
        <f>SUM(H35:H40)</f>
        <v>0</v>
      </c>
      <c r="I41" s="30">
        <f>SUM(I35:I40)</f>
        <v>160</v>
      </c>
      <c r="J41" s="30">
        <f>SUM(J35:J40)</f>
        <v>240</v>
      </c>
      <c r="K41" s="103"/>
      <c r="L41" s="103"/>
      <c r="M41" s="32">
        <f>I41/D41</f>
        <v>1.6</v>
      </c>
    </row>
    <row r="42" spans="1:13" ht="30" x14ac:dyDescent="0.35">
      <c r="A42" s="93" t="s">
        <v>143</v>
      </c>
      <c r="B42" s="81" t="s">
        <v>140</v>
      </c>
      <c r="C42" s="81" t="s">
        <v>4</v>
      </c>
      <c r="D42" s="81" t="s">
        <v>5</v>
      </c>
      <c r="E42" s="81" t="s">
        <v>0</v>
      </c>
      <c r="F42" s="81" t="s">
        <v>7</v>
      </c>
      <c r="G42" s="81" t="s">
        <v>22</v>
      </c>
      <c r="H42" s="81" t="s">
        <v>21</v>
      </c>
      <c r="I42" s="81" t="s">
        <v>2</v>
      </c>
      <c r="J42" s="81" t="s">
        <v>3</v>
      </c>
      <c r="K42" s="81"/>
      <c r="L42" s="81"/>
      <c r="M42" s="81" t="s">
        <v>8</v>
      </c>
    </row>
    <row r="43" spans="1:13" ht="69.75" customHeight="1" x14ac:dyDescent="0.35">
      <c r="A43" s="123">
        <f>A40+1</f>
        <v>33</v>
      </c>
      <c r="B43" s="138" t="s">
        <v>102</v>
      </c>
      <c r="C43" s="9" t="s">
        <v>1</v>
      </c>
      <c r="D43" s="9">
        <v>20</v>
      </c>
      <c r="E43" s="143">
        <f>524/1173</f>
        <v>0.44671781756180734</v>
      </c>
      <c r="F43" s="9">
        <v>1</v>
      </c>
      <c r="G43" s="9">
        <f t="shared" ref="G43:G50" si="12">F43*D43</f>
        <v>20</v>
      </c>
      <c r="H43" s="9"/>
      <c r="I43" s="7">
        <f t="shared" ref="I43:I51" si="13">F43*D43</f>
        <v>20</v>
      </c>
      <c r="J43" s="7">
        <f t="shared" ref="J43:J51" si="14">D43*4-I43</f>
        <v>60</v>
      </c>
      <c r="K43" s="9" t="s">
        <v>218</v>
      </c>
      <c r="L43" s="7" t="s">
        <v>235</v>
      </c>
      <c r="M43" s="7"/>
    </row>
    <row r="44" spans="1:13" ht="217" x14ac:dyDescent="0.35">
      <c r="A44" s="123">
        <f>A43+1</f>
        <v>34</v>
      </c>
      <c r="B44" s="138" t="s">
        <v>103</v>
      </c>
      <c r="C44" s="9" t="s">
        <v>1</v>
      </c>
      <c r="D44" s="9">
        <v>10</v>
      </c>
      <c r="E44" s="128" t="s">
        <v>165</v>
      </c>
      <c r="F44" s="9">
        <v>4</v>
      </c>
      <c r="G44" s="9">
        <f t="shared" si="12"/>
        <v>40</v>
      </c>
      <c r="H44" s="9"/>
      <c r="I44" s="7">
        <f t="shared" si="13"/>
        <v>40</v>
      </c>
      <c r="J44" s="7">
        <f t="shared" si="14"/>
        <v>0</v>
      </c>
      <c r="K44" s="9"/>
      <c r="L44" s="9"/>
      <c r="M44" s="7"/>
    </row>
    <row r="45" spans="1:13" ht="84.75" customHeight="1" x14ac:dyDescent="0.35">
      <c r="A45" s="123">
        <f t="shared" ref="A45:A51" si="15">A44+1</f>
        <v>35</v>
      </c>
      <c r="B45" s="138" t="s">
        <v>104</v>
      </c>
      <c r="C45" s="9" t="s">
        <v>1</v>
      </c>
      <c r="D45" s="5">
        <v>10</v>
      </c>
      <c r="E45" s="127">
        <f>633/1173</f>
        <v>0.53964194373401531</v>
      </c>
      <c r="F45" s="5">
        <v>4</v>
      </c>
      <c r="G45" s="9">
        <f t="shared" si="12"/>
        <v>40</v>
      </c>
      <c r="H45" s="5"/>
      <c r="I45" s="7">
        <f t="shared" si="13"/>
        <v>40</v>
      </c>
      <c r="J45" s="7">
        <f t="shared" si="14"/>
        <v>0</v>
      </c>
      <c r="K45" s="5" t="s">
        <v>219</v>
      </c>
      <c r="L45" s="8" t="s">
        <v>229</v>
      </c>
      <c r="M45" s="8" t="s">
        <v>190</v>
      </c>
    </row>
    <row r="46" spans="1:13" ht="263.5" x14ac:dyDescent="0.35">
      <c r="A46" s="123">
        <f t="shared" si="15"/>
        <v>36</v>
      </c>
      <c r="B46" s="138" t="s">
        <v>105</v>
      </c>
      <c r="C46" s="9" t="s">
        <v>1</v>
      </c>
      <c r="D46" s="9">
        <v>10</v>
      </c>
      <c r="E46" s="128" t="s">
        <v>165</v>
      </c>
      <c r="F46" s="9">
        <v>4</v>
      </c>
      <c r="G46" s="9">
        <f t="shared" si="12"/>
        <v>40</v>
      </c>
      <c r="H46" s="9"/>
      <c r="I46" s="7">
        <f t="shared" si="13"/>
        <v>40</v>
      </c>
      <c r="J46" s="7">
        <f t="shared" si="14"/>
        <v>0</v>
      </c>
      <c r="K46" s="9"/>
      <c r="L46" s="9"/>
      <c r="M46" s="7" t="s">
        <v>170</v>
      </c>
    </row>
    <row r="47" spans="1:13" ht="124" x14ac:dyDescent="0.35">
      <c r="A47" s="123">
        <f t="shared" si="15"/>
        <v>37</v>
      </c>
      <c r="B47" s="138" t="s">
        <v>106</v>
      </c>
      <c r="C47" s="9" t="s">
        <v>1</v>
      </c>
      <c r="D47" s="9">
        <v>25</v>
      </c>
      <c r="E47" s="172">
        <f>61/130</f>
        <v>0.46923076923076923</v>
      </c>
      <c r="F47" s="9">
        <v>3</v>
      </c>
      <c r="G47" s="9">
        <f t="shared" si="12"/>
        <v>75</v>
      </c>
      <c r="H47" s="9"/>
      <c r="I47" s="7">
        <f t="shared" si="13"/>
        <v>75</v>
      </c>
      <c r="J47" s="7">
        <f t="shared" si="14"/>
        <v>25</v>
      </c>
      <c r="K47" s="3" t="s">
        <v>220</v>
      </c>
      <c r="L47" t="s">
        <v>191</v>
      </c>
      <c r="M47" s="27" t="s">
        <v>239</v>
      </c>
    </row>
    <row r="48" spans="1:13" ht="170.5" x14ac:dyDescent="0.35">
      <c r="A48" s="134">
        <f t="shared" si="15"/>
        <v>38</v>
      </c>
      <c r="B48" s="138" t="s">
        <v>107</v>
      </c>
      <c r="C48" s="9" t="s">
        <v>1</v>
      </c>
      <c r="D48" s="9">
        <v>10</v>
      </c>
      <c r="E48" s="122">
        <v>0</v>
      </c>
      <c r="F48" s="9">
        <v>0</v>
      </c>
      <c r="G48" s="9">
        <f t="shared" si="12"/>
        <v>0</v>
      </c>
      <c r="H48" s="9"/>
      <c r="I48" s="7">
        <f t="shared" si="13"/>
        <v>0</v>
      </c>
      <c r="J48" s="7">
        <f t="shared" si="14"/>
        <v>40</v>
      </c>
      <c r="K48" s="9" t="s">
        <v>221</v>
      </c>
      <c r="L48" s="7" t="s">
        <v>192</v>
      </c>
      <c r="M48" s="7" t="s">
        <v>192</v>
      </c>
    </row>
    <row r="49" spans="1:13" ht="77.5" x14ac:dyDescent="0.35">
      <c r="A49" s="123">
        <f t="shared" si="15"/>
        <v>39</v>
      </c>
      <c r="B49" s="138" t="s">
        <v>108</v>
      </c>
      <c r="C49" s="9" t="s">
        <v>1</v>
      </c>
      <c r="D49" s="9">
        <v>20</v>
      </c>
      <c r="E49" s="128">
        <v>5</v>
      </c>
      <c r="F49" s="9">
        <v>4</v>
      </c>
      <c r="G49" s="9">
        <f t="shared" si="12"/>
        <v>80</v>
      </c>
      <c r="H49" s="9"/>
      <c r="I49" s="7">
        <f t="shared" si="13"/>
        <v>80</v>
      </c>
      <c r="J49" s="7">
        <f t="shared" si="14"/>
        <v>0</v>
      </c>
      <c r="K49" s="9" t="s">
        <v>215</v>
      </c>
      <c r="L49" s="129" t="s">
        <v>193</v>
      </c>
      <c r="M49" s="129" t="s">
        <v>193</v>
      </c>
    </row>
    <row r="50" spans="1:13" ht="62" x14ac:dyDescent="0.35">
      <c r="A50" s="123">
        <f t="shared" si="15"/>
        <v>40</v>
      </c>
      <c r="B50" s="138" t="s">
        <v>109</v>
      </c>
      <c r="C50" s="9" t="s">
        <v>1</v>
      </c>
      <c r="D50" s="9">
        <v>25</v>
      </c>
      <c r="E50" s="128">
        <v>31</v>
      </c>
      <c r="F50" s="9">
        <v>4</v>
      </c>
      <c r="G50" s="9">
        <f t="shared" si="12"/>
        <v>100</v>
      </c>
      <c r="H50" s="9"/>
      <c r="I50" s="7">
        <f t="shared" si="13"/>
        <v>100</v>
      </c>
      <c r="J50" s="7">
        <f t="shared" si="14"/>
        <v>0</v>
      </c>
      <c r="K50" s="9" t="s">
        <v>222</v>
      </c>
      <c r="L50" s="7" t="s">
        <v>228</v>
      </c>
      <c r="M50" s="7" t="s">
        <v>194</v>
      </c>
    </row>
    <row r="51" spans="1:13" ht="62" x14ac:dyDescent="0.35">
      <c r="A51" s="9">
        <f t="shared" si="15"/>
        <v>41</v>
      </c>
      <c r="B51" s="137" t="s">
        <v>110</v>
      </c>
      <c r="C51" s="96" t="s">
        <v>6</v>
      </c>
      <c r="D51" s="96">
        <v>10</v>
      </c>
      <c r="E51" s="96"/>
      <c r="F51" s="96"/>
      <c r="G51" s="9"/>
      <c r="H51" s="102">
        <f>F51*D51</f>
        <v>0</v>
      </c>
      <c r="I51" s="7">
        <f t="shared" si="13"/>
        <v>0</v>
      </c>
      <c r="J51" s="7">
        <f t="shared" si="14"/>
        <v>40</v>
      </c>
      <c r="K51" s="9"/>
      <c r="L51" s="9" t="s">
        <v>227</v>
      </c>
      <c r="M51" s="7"/>
    </row>
    <row r="52" spans="1:13" x14ac:dyDescent="0.35">
      <c r="A52" s="30"/>
      <c r="B52" s="103"/>
      <c r="C52" s="30"/>
      <c r="D52" s="30">
        <f>SUM(D43:D51)</f>
        <v>140</v>
      </c>
      <c r="E52" s="30">
        <f>D52*4</f>
        <v>560</v>
      </c>
      <c r="F52" s="30"/>
      <c r="G52" s="30">
        <f>SUM(G43:G51)</f>
        <v>395</v>
      </c>
      <c r="H52" s="30">
        <f>SUM(H43:H51)</f>
        <v>0</v>
      </c>
      <c r="I52" s="30">
        <f>SUM(I43:I51)</f>
        <v>395</v>
      </c>
      <c r="J52" s="30">
        <f>SUM(J43:J51)</f>
        <v>165</v>
      </c>
      <c r="K52" s="103"/>
      <c r="L52" s="103"/>
      <c r="M52" s="32">
        <f>I52/D52</f>
        <v>2.8214285714285716</v>
      </c>
    </row>
    <row r="53" spans="1:13" ht="30" x14ac:dyDescent="0.35">
      <c r="A53" s="93" t="s">
        <v>143</v>
      </c>
      <c r="B53" s="81" t="s">
        <v>141</v>
      </c>
      <c r="C53" s="81" t="s">
        <v>4</v>
      </c>
      <c r="D53" s="81" t="s">
        <v>5</v>
      </c>
      <c r="E53" s="81" t="s">
        <v>0</v>
      </c>
      <c r="F53" s="81" t="s">
        <v>7</v>
      </c>
      <c r="G53" s="81" t="s">
        <v>22</v>
      </c>
      <c r="H53" s="81" t="s">
        <v>21</v>
      </c>
      <c r="I53" s="81" t="s">
        <v>2</v>
      </c>
      <c r="J53" s="81" t="s">
        <v>3</v>
      </c>
      <c r="K53" s="81"/>
      <c r="L53" s="81"/>
      <c r="M53" s="81" t="s">
        <v>8</v>
      </c>
    </row>
    <row r="54" spans="1:13" ht="124" x14ac:dyDescent="0.35">
      <c r="A54" s="9">
        <f>A51+1</f>
        <v>42</v>
      </c>
      <c r="B54" s="137" t="s">
        <v>158</v>
      </c>
      <c r="C54" s="96" t="s">
        <v>6</v>
      </c>
      <c r="D54" s="96">
        <v>15</v>
      </c>
      <c r="E54" s="96"/>
      <c r="F54" s="96"/>
      <c r="G54" s="9"/>
      <c r="H54" s="102">
        <f>F54*D54</f>
        <v>0</v>
      </c>
      <c r="I54" s="7">
        <f t="shared" ref="I54:I62" si="16">D54*F54</f>
        <v>0</v>
      </c>
      <c r="J54" s="7">
        <f t="shared" ref="J54:J62" si="17">D54*4-I54</f>
        <v>60</v>
      </c>
      <c r="K54" s="9"/>
      <c r="L54" s="9"/>
      <c r="M54" s="7"/>
    </row>
    <row r="55" spans="1:13" ht="77.5" x14ac:dyDescent="0.35">
      <c r="A55" s="9">
        <f>A54+1</f>
        <v>43</v>
      </c>
      <c r="B55" s="137" t="s">
        <v>159</v>
      </c>
      <c r="C55" s="96" t="s">
        <v>6</v>
      </c>
      <c r="D55" s="96">
        <v>8</v>
      </c>
      <c r="E55" s="96"/>
      <c r="F55" s="96"/>
      <c r="G55" s="9"/>
      <c r="H55" s="102">
        <f>F55*D55</f>
        <v>0</v>
      </c>
      <c r="I55" s="7">
        <f t="shared" si="16"/>
        <v>0</v>
      </c>
      <c r="J55" s="7">
        <f t="shared" si="17"/>
        <v>32</v>
      </c>
      <c r="K55" s="9"/>
      <c r="L55" s="9"/>
      <c r="M55" s="7"/>
    </row>
    <row r="56" spans="1:13" ht="155" x14ac:dyDescent="0.35">
      <c r="A56" s="123">
        <f t="shared" ref="A56:A62" si="18">A55+1</f>
        <v>44</v>
      </c>
      <c r="B56" s="138" t="s">
        <v>113</v>
      </c>
      <c r="C56" s="9" t="s">
        <v>1</v>
      </c>
      <c r="D56" s="9">
        <v>4</v>
      </c>
      <c r="E56" s="123" t="s">
        <v>165</v>
      </c>
      <c r="F56" s="9">
        <v>4</v>
      </c>
      <c r="G56" s="9">
        <f>F56*D56</f>
        <v>16</v>
      </c>
      <c r="H56" s="9"/>
      <c r="I56" s="7">
        <f t="shared" si="16"/>
        <v>16</v>
      </c>
      <c r="J56" s="7">
        <f t="shared" si="17"/>
        <v>0</v>
      </c>
      <c r="K56" s="9"/>
      <c r="L56" s="9"/>
      <c r="M56" s="7"/>
    </row>
    <row r="57" spans="1:13" ht="46.5" x14ac:dyDescent="0.35">
      <c r="A57" s="9">
        <f t="shared" si="18"/>
        <v>45</v>
      </c>
      <c r="B57" s="137" t="s">
        <v>114</v>
      </c>
      <c r="C57" s="96" t="s">
        <v>6</v>
      </c>
      <c r="D57" s="96">
        <v>6</v>
      </c>
      <c r="E57" s="96"/>
      <c r="F57" s="96"/>
      <c r="G57" s="9"/>
      <c r="H57" s="102">
        <f>F57*D57</f>
        <v>0</v>
      </c>
      <c r="I57" s="7">
        <f t="shared" si="16"/>
        <v>0</v>
      </c>
      <c r="J57" s="7">
        <f t="shared" si="17"/>
        <v>24</v>
      </c>
      <c r="K57" s="9"/>
      <c r="L57" s="9"/>
      <c r="M57" s="7"/>
    </row>
    <row r="58" spans="1:13" ht="84" customHeight="1" x14ac:dyDescent="0.35">
      <c r="A58" s="123">
        <f t="shared" si="18"/>
        <v>46</v>
      </c>
      <c r="B58" s="141" t="s">
        <v>115</v>
      </c>
      <c r="C58" s="9" t="s">
        <v>1</v>
      </c>
      <c r="D58" s="9">
        <v>12</v>
      </c>
      <c r="E58" s="126">
        <f>33/70</f>
        <v>0.47142857142857142</v>
      </c>
      <c r="F58" s="9">
        <v>3</v>
      </c>
      <c r="G58" s="9">
        <f>F58*D58</f>
        <v>36</v>
      </c>
      <c r="H58" s="9"/>
      <c r="I58" s="7">
        <f>D58*F58</f>
        <v>36</v>
      </c>
      <c r="J58" s="7">
        <f t="shared" si="17"/>
        <v>12</v>
      </c>
      <c r="K58" s="9" t="s">
        <v>223</v>
      </c>
      <c r="L58" s="7" t="s">
        <v>195</v>
      </c>
      <c r="M58" s="7"/>
    </row>
    <row r="59" spans="1:13" ht="155" x14ac:dyDescent="0.35">
      <c r="A59" s="123">
        <f t="shared" si="18"/>
        <v>47</v>
      </c>
      <c r="B59" s="138" t="s">
        <v>116</v>
      </c>
      <c r="C59" s="9" t="s">
        <v>1</v>
      </c>
      <c r="D59" s="9">
        <v>15</v>
      </c>
      <c r="E59" s="124">
        <f>46/80</f>
        <v>0.57499999999999996</v>
      </c>
      <c r="F59" s="9">
        <v>4</v>
      </c>
      <c r="G59" s="9">
        <f>F59*D59</f>
        <v>60</v>
      </c>
      <c r="H59" s="9"/>
      <c r="I59" s="7">
        <f t="shared" si="16"/>
        <v>60</v>
      </c>
      <c r="J59" s="7">
        <f t="shared" si="17"/>
        <v>0</v>
      </c>
      <c r="K59" s="9" t="s">
        <v>224</v>
      </c>
      <c r="L59" s="7" t="s">
        <v>232</v>
      </c>
      <c r="M59" s="7" t="s">
        <v>231</v>
      </c>
    </row>
    <row r="60" spans="1:13" ht="77.5" x14ac:dyDescent="0.35">
      <c r="A60" s="9">
        <f t="shared" si="18"/>
        <v>48</v>
      </c>
      <c r="B60" s="137" t="s">
        <v>117</v>
      </c>
      <c r="C60" s="96" t="s">
        <v>6</v>
      </c>
      <c r="D60" s="96">
        <v>10</v>
      </c>
      <c r="E60" s="96"/>
      <c r="F60" s="96"/>
      <c r="G60" s="9"/>
      <c r="H60" s="102">
        <f>F60*D60</f>
        <v>0</v>
      </c>
      <c r="I60" s="7">
        <f t="shared" si="16"/>
        <v>0</v>
      </c>
      <c r="J60" s="7">
        <f t="shared" si="17"/>
        <v>40</v>
      </c>
      <c r="K60" s="9"/>
      <c r="L60" s="9"/>
      <c r="M60" s="7"/>
    </row>
    <row r="61" spans="1:13" ht="108.5" x14ac:dyDescent="0.35">
      <c r="A61" s="9">
        <f t="shared" si="18"/>
        <v>49</v>
      </c>
      <c r="B61" s="137" t="s">
        <v>118</v>
      </c>
      <c r="C61" s="96" t="s">
        <v>6</v>
      </c>
      <c r="D61" s="96">
        <v>15</v>
      </c>
      <c r="E61" s="96"/>
      <c r="F61" s="96"/>
      <c r="G61" s="9"/>
      <c r="H61" s="102">
        <f>F61*D61</f>
        <v>0</v>
      </c>
      <c r="I61" s="7">
        <f t="shared" si="16"/>
        <v>0</v>
      </c>
      <c r="J61" s="7">
        <f t="shared" si="17"/>
        <v>60</v>
      </c>
      <c r="K61" s="9"/>
      <c r="L61" s="9"/>
      <c r="M61" s="7"/>
    </row>
    <row r="62" spans="1:13" ht="341" x14ac:dyDescent="0.35">
      <c r="A62" s="121">
        <f t="shared" si="18"/>
        <v>50</v>
      </c>
      <c r="B62" s="138" t="s">
        <v>160</v>
      </c>
      <c r="C62" s="9" t="s">
        <v>1</v>
      </c>
      <c r="D62" s="9">
        <v>15</v>
      </c>
      <c r="E62" s="123" t="s">
        <v>169</v>
      </c>
      <c r="F62" s="9">
        <v>3</v>
      </c>
      <c r="G62" s="9">
        <f>F62*D62</f>
        <v>45</v>
      </c>
      <c r="H62" s="9"/>
      <c r="I62" s="7">
        <f t="shared" si="16"/>
        <v>45</v>
      </c>
      <c r="J62" s="7">
        <f t="shared" si="17"/>
        <v>15</v>
      </c>
      <c r="K62" s="9"/>
      <c r="L62" s="7"/>
      <c r="M62" s="7"/>
    </row>
    <row r="63" spans="1:13" x14ac:dyDescent="0.35">
      <c r="A63" s="30"/>
      <c r="B63" s="103"/>
      <c r="C63" s="30"/>
      <c r="D63" s="30">
        <f>SUM(D54:D62)</f>
        <v>100</v>
      </c>
      <c r="E63" s="30">
        <f>D63*4</f>
        <v>400</v>
      </c>
      <c r="F63" s="30"/>
      <c r="G63" s="30">
        <f>SUM(G54:G62)</f>
        <v>157</v>
      </c>
      <c r="H63" s="30">
        <f>SUM(H54:H62)</f>
        <v>0</v>
      </c>
      <c r="I63" s="30">
        <f>SUM(I54:I62)</f>
        <v>157</v>
      </c>
      <c r="J63" s="30">
        <f>SUM(J54:J62)</f>
        <v>243</v>
      </c>
      <c r="K63" s="103"/>
      <c r="L63" s="103"/>
      <c r="M63" s="32">
        <f>I63/D63</f>
        <v>1.57</v>
      </c>
    </row>
    <row r="64" spans="1:13" ht="30" x14ac:dyDescent="0.35">
      <c r="A64" s="93" t="s">
        <v>143</v>
      </c>
      <c r="B64" s="81" t="s">
        <v>142</v>
      </c>
      <c r="C64" s="81" t="s">
        <v>4</v>
      </c>
      <c r="D64" s="81" t="s">
        <v>5</v>
      </c>
      <c r="E64" s="81" t="s">
        <v>0</v>
      </c>
      <c r="F64" s="81" t="s">
        <v>7</v>
      </c>
      <c r="G64" s="81" t="s">
        <v>22</v>
      </c>
      <c r="H64" s="81" t="s">
        <v>21</v>
      </c>
      <c r="I64" s="81" t="s">
        <v>2</v>
      </c>
      <c r="J64" s="81" t="s">
        <v>3</v>
      </c>
      <c r="K64" s="81"/>
      <c r="L64" s="81"/>
      <c r="M64" s="81" t="s">
        <v>8</v>
      </c>
    </row>
    <row r="65" spans="1:13" ht="46.5" x14ac:dyDescent="0.35">
      <c r="A65" s="9">
        <f>A62+1</f>
        <v>51</v>
      </c>
      <c r="B65" s="137" t="s">
        <v>161</v>
      </c>
      <c r="C65" s="96" t="s">
        <v>6</v>
      </c>
      <c r="D65" s="96">
        <v>10</v>
      </c>
      <c r="E65" s="96"/>
      <c r="F65" s="96"/>
      <c r="G65" s="9"/>
      <c r="H65" s="102">
        <f>F65*D65</f>
        <v>0</v>
      </c>
      <c r="I65" s="7">
        <f t="shared" ref="I65:I70" si="19">F65*D65</f>
        <v>0</v>
      </c>
      <c r="J65" s="7">
        <f t="shared" ref="J65:J70" si="20">D65*4-I65</f>
        <v>40</v>
      </c>
      <c r="K65" s="9"/>
      <c r="L65" s="9"/>
      <c r="M65" s="7"/>
    </row>
    <row r="66" spans="1:13" ht="279" x14ac:dyDescent="0.35">
      <c r="A66" s="123">
        <f>A65+1</f>
        <v>52</v>
      </c>
      <c r="B66" s="138" t="s">
        <v>121</v>
      </c>
      <c r="C66" s="9" t="s">
        <v>1</v>
      </c>
      <c r="D66" s="9">
        <v>20</v>
      </c>
      <c r="E66" s="123" t="s">
        <v>165</v>
      </c>
      <c r="F66" s="9">
        <v>4</v>
      </c>
      <c r="G66" s="9">
        <f>F66*D66</f>
        <v>80</v>
      </c>
      <c r="H66" s="9"/>
      <c r="I66" s="7">
        <f t="shared" si="19"/>
        <v>80</v>
      </c>
      <c r="J66" s="7">
        <f t="shared" si="20"/>
        <v>0</v>
      </c>
      <c r="K66" s="9"/>
      <c r="L66" s="7" t="s">
        <v>196</v>
      </c>
      <c r="M66" s="7" t="s">
        <v>196</v>
      </c>
    </row>
    <row r="67" spans="1:13" ht="232.5" x14ac:dyDescent="0.35">
      <c r="A67" s="123">
        <f t="shared" ref="A67:A70" si="21">A66+1</f>
        <v>53</v>
      </c>
      <c r="B67" s="138" t="s">
        <v>122</v>
      </c>
      <c r="C67" s="9" t="s">
        <v>1</v>
      </c>
      <c r="D67" s="9">
        <v>10</v>
      </c>
      <c r="E67" s="123" t="s">
        <v>169</v>
      </c>
      <c r="F67" s="9">
        <v>3</v>
      </c>
      <c r="G67" s="9">
        <f>F67*D67</f>
        <v>30</v>
      </c>
      <c r="H67" s="9"/>
      <c r="I67" s="7">
        <f t="shared" si="19"/>
        <v>30</v>
      </c>
      <c r="J67" s="7">
        <f t="shared" si="20"/>
        <v>10</v>
      </c>
      <c r="K67" s="9"/>
      <c r="L67" s="7" t="s">
        <v>168</v>
      </c>
      <c r="M67" s="7" t="s">
        <v>168</v>
      </c>
    </row>
    <row r="68" spans="1:13" ht="124" x14ac:dyDescent="0.35">
      <c r="A68" s="9">
        <f t="shared" si="21"/>
        <v>54</v>
      </c>
      <c r="B68" s="137" t="s">
        <v>123</v>
      </c>
      <c r="C68" s="96" t="s">
        <v>6</v>
      </c>
      <c r="D68" s="96">
        <v>10</v>
      </c>
      <c r="E68" s="96"/>
      <c r="F68" s="96"/>
      <c r="G68" s="9"/>
      <c r="H68" s="102">
        <f>F68*D68</f>
        <v>0</v>
      </c>
      <c r="I68" s="7">
        <f t="shared" si="19"/>
        <v>0</v>
      </c>
      <c r="J68" s="7">
        <f t="shared" si="20"/>
        <v>40</v>
      </c>
      <c r="K68" s="9"/>
      <c r="L68" s="9"/>
      <c r="M68" s="7"/>
    </row>
    <row r="69" spans="1:13" ht="46.5" x14ac:dyDescent="0.35">
      <c r="A69" s="9">
        <f t="shared" si="21"/>
        <v>55</v>
      </c>
      <c r="B69" s="137" t="s">
        <v>124</v>
      </c>
      <c r="C69" s="96" t="s">
        <v>6</v>
      </c>
      <c r="D69" s="96">
        <v>30</v>
      </c>
      <c r="E69" s="96"/>
      <c r="F69" s="96"/>
      <c r="G69" s="9"/>
      <c r="H69" s="102">
        <f t="shared" ref="H69:H70" si="22">F69*D69</f>
        <v>0</v>
      </c>
      <c r="I69" s="7">
        <f t="shared" si="19"/>
        <v>0</v>
      </c>
      <c r="J69" s="7">
        <f t="shared" si="20"/>
        <v>120</v>
      </c>
      <c r="K69" s="9"/>
      <c r="L69" s="9"/>
      <c r="M69" s="7"/>
    </row>
    <row r="70" spans="1:13" ht="46.5" x14ac:dyDescent="0.35">
      <c r="A70" s="9">
        <f t="shared" si="21"/>
        <v>56</v>
      </c>
      <c r="B70" s="137" t="s">
        <v>125</v>
      </c>
      <c r="C70" s="96" t="s">
        <v>6</v>
      </c>
      <c r="D70" s="96">
        <v>20</v>
      </c>
      <c r="E70" s="96"/>
      <c r="F70" s="96"/>
      <c r="G70" s="9"/>
      <c r="H70" s="102">
        <f t="shared" si="22"/>
        <v>0</v>
      </c>
      <c r="I70" s="7">
        <f t="shared" si="19"/>
        <v>0</v>
      </c>
      <c r="J70" s="7">
        <f t="shared" si="20"/>
        <v>80</v>
      </c>
      <c r="K70" s="9"/>
      <c r="L70" s="9"/>
      <c r="M70" s="7"/>
    </row>
    <row r="71" spans="1:13" x14ac:dyDescent="0.35">
      <c r="A71" s="30"/>
      <c r="B71" s="103"/>
      <c r="C71" s="30"/>
      <c r="D71" s="30">
        <f>SUM(D65:D70)</f>
        <v>100</v>
      </c>
      <c r="E71" s="30">
        <f>D71*4</f>
        <v>400</v>
      </c>
      <c r="F71" s="30"/>
      <c r="G71" s="30">
        <f>SUM(G65:G70)</f>
        <v>110</v>
      </c>
      <c r="H71" s="30">
        <f t="shared" ref="H71:J71" si="23">SUM(H65:H70)</f>
        <v>0</v>
      </c>
      <c r="I71" s="30">
        <f t="shared" si="23"/>
        <v>110</v>
      </c>
      <c r="J71" s="30">
        <f t="shared" si="23"/>
        <v>290</v>
      </c>
      <c r="K71" s="103"/>
      <c r="L71" s="103"/>
      <c r="M71" s="32">
        <f>I71/D71</f>
        <v>1.1000000000000001</v>
      </c>
    </row>
    <row r="72" spans="1:13" x14ac:dyDescent="0.35">
      <c r="I72" s="3"/>
      <c r="J72" s="3"/>
    </row>
  </sheetData>
  <autoFilter ref="A2:M71" xr:uid="{00000000-0009-0000-0000-000000000000}"/>
  <mergeCells count="1">
    <mergeCell ref="A1:M1"/>
  </mergeCells>
  <pageMargins left="0.25" right="0.25"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workbookViewId="0">
      <selection activeCell="B12" sqref="B12:C12"/>
    </sheetView>
  </sheetViews>
  <sheetFormatPr defaultRowHeight="14.5" x14ac:dyDescent="0.35"/>
  <cols>
    <col min="1" max="1" width="8.81640625" bestFit="1" customWidth="1"/>
    <col min="2" max="2" width="12.54296875" bestFit="1" customWidth="1"/>
    <col min="3" max="3" width="12" bestFit="1" customWidth="1"/>
    <col min="4" max="4" width="15.7265625" bestFit="1" customWidth="1"/>
    <col min="5" max="5" width="15.1796875" bestFit="1" customWidth="1"/>
    <col min="6" max="6" width="10.453125" customWidth="1"/>
  </cols>
  <sheetData>
    <row r="1" spans="1:7" x14ac:dyDescent="0.35">
      <c r="A1" s="147" t="s">
        <v>75</v>
      </c>
      <c r="B1" s="148"/>
      <c r="C1" s="148"/>
      <c r="D1" s="148"/>
      <c r="E1" s="148"/>
      <c r="F1" s="148"/>
      <c r="G1" s="149"/>
    </row>
    <row r="2" spans="1:7" ht="15" thickBot="1" x14ac:dyDescent="0.4">
      <c r="A2" s="150"/>
      <c r="B2" s="151"/>
      <c r="C2" s="151"/>
      <c r="D2" s="151"/>
      <c r="E2" s="151"/>
      <c r="F2" s="151"/>
      <c r="G2" s="152"/>
    </row>
    <row r="3" spans="1:7" x14ac:dyDescent="0.35">
      <c r="A3" s="153" t="s">
        <v>9</v>
      </c>
      <c r="B3" s="155" t="s">
        <v>74</v>
      </c>
      <c r="C3" s="155"/>
      <c r="D3" s="155" t="s">
        <v>5</v>
      </c>
      <c r="E3" s="155"/>
      <c r="F3" s="153" t="s">
        <v>73</v>
      </c>
      <c r="G3" s="153"/>
    </row>
    <row r="4" spans="1:7" x14ac:dyDescent="0.35">
      <c r="A4" s="154"/>
      <c r="B4" s="99" t="s">
        <v>1</v>
      </c>
      <c r="C4" s="99" t="s">
        <v>6</v>
      </c>
      <c r="D4" s="99" t="s">
        <v>1</v>
      </c>
      <c r="E4" s="99" t="s">
        <v>6</v>
      </c>
      <c r="F4" s="154"/>
      <c r="G4" s="154"/>
    </row>
    <row r="5" spans="1:7" x14ac:dyDescent="0.35">
      <c r="A5" s="35" t="s">
        <v>38</v>
      </c>
      <c r="B5" s="35">
        <v>4</v>
      </c>
      <c r="C5" s="35">
        <v>2</v>
      </c>
      <c r="D5" s="35">
        <v>70</v>
      </c>
      <c r="E5" s="35">
        <v>30</v>
      </c>
      <c r="F5" s="100">
        <f>SUM(B5:C5)</f>
        <v>6</v>
      </c>
      <c r="G5" s="100">
        <f>SUM(D5:E5)</f>
        <v>100</v>
      </c>
    </row>
    <row r="6" spans="1:7" x14ac:dyDescent="0.35">
      <c r="A6" s="35" t="s">
        <v>39</v>
      </c>
      <c r="B6" s="35">
        <v>7</v>
      </c>
      <c r="C6" s="35">
        <v>4</v>
      </c>
      <c r="D6" s="35">
        <v>225</v>
      </c>
      <c r="E6" s="35">
        <v>125</v>
      </c>
      <c r="F6" s="100">
        <f t="shared" ref="F6:F11" si="0">SUM(B6:C6)</f>
        <v>11</v>
      </c>
      <c r="G6" s="100">
        <f t="shared" ref="G6:G11" si="1">SUM(D6:E6)</f>
        <v>350</v>
      </c>
    </row>
    <row r="7" spans="1:7" x14ac:dyDescent="0.35">
      <c r="A7" s="35" t="s">
        <v>40</v>
      </c>
      <c r="B7" s="35">
        <v>6</v>
      </c>
      <c r="C7" s="35">
        <v>3</v>
      </c>
      <c r="D7" s="35">
        <v>80</v>
      </c>
      <c r="E7" s="35">
        <v>30</v>
      </c>
      <c r="F7" s="100">
        <f t="shared" si="0"/>
        <v>9</v>
      </c>
      <c r="G7" s="100">
        <f t="shared" si="1"/>
        <v>110</v>
      </c>
    </row>
    <row r="8" spans="1:7" x14ac:dyDescent="0.35">
      <c r="A8" s="35" t="s">
        <v>41</v>
      </c>
      <c r="B8" s="35">
        <v>3</v>
      </c>
      <c r="C8" s="35">
        <v>3</v>
      </c>
      <c r="D8" s="35">
        <v>40</v>
      </c>
      <c r="E8" s="35">
        <v>60</v>
      </c>
      <c r="F8" s="100">
        <f t="shared" si="0"/>
        <v>6</v>
      </c>
      <c r="G8" s="100">
        <f t="shared" si="1"/>
        <v>100</v>
      </c>
    </row>
    <row r="9" spans="1:7" x14ac:dyDescent="0.35">
      <c r="A9" s="35" t="s">
        <v>42</v>
      </c>
      <c r="B9" s="35">
        <v>8</v>
      </c>
      <c r="C9" s="35">
        <v>1</v>
      </c>
      <c r="D9" s="35">
        <v>130</v>
      </c>
      <c r="E9" s="35">
        <v>10</v>
      </c>
      <c r="F9" s="100">
        <f t="shared" si="0"/>
        <v>9</v>
      </c>
      <c r="G9" s="100">
        <f t="shared" si="1"/>
        <v>140</v>
      </c>
    </row>
    <row r="10" spans="1:7" x14ac:dyDescent="0.35">
      <c r="A10" s="35" t="s">
        <v>43</v>
      </c>
      <c r="B10" s="35">
        <v>4</v>
      </c>
      <c r="C10" s="35">
        <v>5</v>
      </c>
      <c r="D10" s="35">
        <v>46</v>
      </c>
      <c r="E10" s="35">
        <v>54</v>
      </c>
      <c r="F10" s="100">
        <f t="shared" si="0"/>
        <v>9</v>
      </c>
      <c r="G10" s="100">
        <f t="shared" si="1"/>
        <v>100</v>
      </c>
    </row>
    <row r="11" spans="1:7" x14ac:dyDescent="0.35">
      <c r="A11" s="35" t="s">
        <v>44</v>
      </c>
      <c r="B11" s="35">
        <v>2</v>
      </c>
      <c r="C11" s="35">
        <v>4</v>
      </c>
      <c r="D11" s="35">
        <v>30</v>
      </c>
      <c r="E11" s="35">
        <v>70</v>
      </c>
      <c r="F11" s="100">
        <f t="shared" si="0"/>
        <v>6</v>
      </c>
      <c r="G11" s="100">
        <f t="shared" si="1"/>
        <v>100</v>
      </c>
    </row>
    <row r="12" spans="1:7" x14ac:dyDescent="0.35">
      <c r="A12" s="101" t="s">
        <v>73</v>
      </c>
      <c r="B12" s="101">
        <f t="shared" ref="B12:G12" si="2">SUM(B5:B11)</f>
        <v>34</v>
      </c>
      <c r="C12" s="101">
        <f t="shared" si="2"/>
        <v>22</v>
      </c>
      <c r="D12" s="101">
        <f t="shared" si="2"/>
        <v>621</v>
      </c>
      <c r="E12" s="101">
        <f t="shared" si="2"/>
        <v>379</v>
      </c>
      <c r="F12" s="101">
        <f t="shared" si="2"/>
        <v>56</v>
      </c>
      <c r="G12" s="101">
        <f t="shared" si="2"/>
        <v>1000</v>
      </c>
    </row>
  </sheetData>
  <mergeCells count="5">
    <mergeCell ref="A1:G2"/>
    <mergeCell ref="A3:A4"/>
    <mergeCell ref="B3:C3"/>
    <mergeCell ref="D3:E3"/>
    <mergeCell ref="F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0"/>
  <sheetViews>
    <sheetView workbookViewId="0">
      <selection activeCell="C24" sqref="C24"/>
    </sheetView>
  </sheetViews>
  <sheetFormatPr defaultRowHeight="14.5" x14ac:dyDescent="0.35"/>
  <cols>
    <col min="1" max="1" width="38.54296875" customWidth="1"/>
    <col min="2" max="2" width="10.453125" customWidth="1"/>
    <col min="3" max="3" width="9.81640625" customWidth="1"/>
    <col min="4" max="4" width="10.7265625" bestFit="1" customWidth="1"/>
    <col min="5" max="5" width="10" bestFit="1" customWidth="1"/>
    <col min="6" max="6" width="5.81640625" bestFit="1" customWidth="1"/>
    <col min="7" max="7" width="9.1796875" bestFit="1" customWidth="1"/>
    <col min="8" max="8" width="5.7265625" customWidth="1"/>
    <col min="9" max="9" width="12.453125" bestFit="1" customWidth="1"/>
    <col min="10" max="10" width="9.453125" bestFit="1" customWidth="1"/>
    <col min="11" max="11" width="12.26953125" bestFit="1" customWidth="1"/>
    <col min="12" max="12" width="12" hidden="1" customWidth="1"/>
    <col min="13" max="13" width="10.1796875" hidden="1" customWidth="1"/>
    <col min="14" max="14" width="9.7265625" hidden="1" customWidth="1"/>
    <col min="15" max="15" width="13.81640625" hidden="1" customWidth="1"/>
    <col min="16" max="16" width="10" hidden="1" customWidth="1"/>
    <col min="17" max="17" width="9.26953125" hidden="1" customWidth="1"/>
    <col min="18" max="18" width="11.81640625" customWidth="1"/>
    <col min="19" max="19" width="10.26953125" bestFit="1" customWidth="1"/>
    <col min="20" max="20" width="12.81640625" bestFit="1" customWidth="1"/>
    <col min="21" max="21" width="8.81640625" bestFit="1" customWidth="1"/>
    <col min="22" max="22" width="9.54296875" customWidth="1"/>
    <col min="23" max="23" width="9" bestFit="1" customWidth="1"/>
    <col min="24" max="24" width="7.1796875" customWidth="1"/>
    <col min="25" max="25" width="8.81640625" customWidth="1"/>
    <col min="26" max="26" width="11.1796875" customWidth="1"/>
    <col min="27" max="27" width="10.54296875" customWidth="1"/>
  </cols>
  <sheetData>
    <row r="1" spans="1:30" ht="33.75" customHeight="1" x14ac:dyDescent="0.45">
      <c r="A1" s="161" t="s">
        <v>172</v>
      </c>
      <c r="B1" s="162"/>
      <c r="C1" s="162"/>
      <c r="D1" s="162"/>
      <c r="E1" s="162"/>
      <c r="F1" s="162"/>
      <c r="G1" s="162"/>
      <c r="H1" s="162"/>
      <c r="I1" s="162"/>
      <c r="J1" s="162"/>
      <c r="K1" s="162"/>
      <c r="L1" s="162"/>
      <c r="M1" s="162"/>
      <c r="N1" s="162"/>
      <c r="O1" s="162"/>
      <c r="P1" s="162"/>
      <c r="Q1" s="162"/>
    </row>
    <row r="2" spans="1:30" ht="43.5" x14ac:dyDescent="0.35">
      <c r="A2" s="10" t="s">
        <v>9</v>
      </c>
      <c r="B2" s="11" t="s">
        <v>46</v>
      </c>
      <c r="C2" s="11" t="s">
        <v>47</v>
      </c>
      <c r="D2" s="11" t="s">
        <v>56</v>
      </c>
      <c r="E2" s="11" t="s">
        <v>10</v>
      </c>
      <c r="F2" s="11" t="s">
        <v>23</v>
      </c>
      <c r="G2" s="11" t="s">
        <v>24</v>
      </c>
      <c r="H2" s="158"/>
      <c r="I2" s="11" t="s">
        <v>26</v>
      </c>
      <c r="J2" s="12" t="s">
        <v>12</v>
      </c>
      <c r="K2" s="12" t="s">
        <v>33</v>
      </c>
      <c r="L2" s="11" t="s">
        <v>25</v>
      </c>
      <c r="M2" s="12" t="s">
        <v>13</v>
      </c>
      <c r="N2" s="12" t="s">
        <v>34</v>
      </c>
      <c r="O2" s="44" t="s">
        <v>144</v>
      </c>
      <c r="P2" s="44" t="s">
        <v>146</v>
      </c>
      <c r="Q2" s="67" t="s">
        <v>145</v>
      </c>
    </row>
    <row r="3" spans="1:30" x14ac:dyDescent="0.35">
      <c r="A3" s="13" t="s">
        <v>14</v>
      </c>
      <c r="B3" s="14">
        <v>70</v>
      </c>
      <c r="C3" s="14">
        <v>30</v>
      </c>
      <c r="D3" s="14">
        <v>100</v>
      </c>
      <c r="E3" s="14">
        <f t="shared" ref="E3:E9" si="0">D3*4</f>
        <v>400</v>
      </c>
      <c r="F3" s="14">
        <f t="shared" ref="F3:G9" si="1">B3*4</f>
        <v>280</v>
      </c>
      <c r="G3" s="14">
        <f t="shared" si="1"/>
        <v>120</v>
      </c>
      <c r="H3" s="159"/>
      <c r="I3" s="15">
        <f>'Master Sheet_7-Mar-24'!G9</f>
        <v>220</v>
      </c>
      <c r="J3" s="17">
        <f t="shared" ref="J3:J9" si="2">F3-I3</f>
        <v>60</v>
      </c>
      <c r="K3" s="63">
        <f t="shared" ref="K3:K10" si="3">I3/B3</f>
        <v>3.1428571428571428</v>
      </c>
      <c r="L3" s="14">
        <f>'Master Sheet_7-Mar-24'!H9</f>
        <v>0</v>
      </c>
      <c r="M3" s="16">
        <f t="shared" ref="M3:M9" si="4">G3-L3</f>
        <v>120</v>
      </c>
      <c r="N3" s="63">
        <f t="shared" ref="N3:N10" si="5">L3/C3</f>
        <v>0</v>
      </c>
      <c r="O3" s="15">
        <f t="shared" ref="O3:O9" si="6">SUM(I3,L3)</f>
        <v>220</v>
      </c>
      <c r="P3" s="15">
        <f t="shared" ref="P3:P9" si="7">SUM(M3,J3)</f>
        <v>180</v>
      </c>
      <c r="Q3" s="18">
        <f t="shared" ref="Q3:Q10" si="8">O3/D3</f>
        <v>2.2000000000000002</v>
      </c>
    </row>
    <row r="4" spans="1:30" x14ac:dyDescent="0.35">
      <c r="A4" s="13" t="s">
        <v>15</v>
      </c>
      <c r="B4" s="14">
        <v>225</v>
      </c>
      <c r="C4" s="14">
        <v>125</v>
      </c>
      <c r="D4" s="14">
        <v>350</v>
      </c>
      <c r="E4" s="14">
        <f t="shared" si="0"/>
        <v>1400</v>
      </c>
      <c r="F4" s="14">
        <f t="shared" si="1"/>
        <v>900</v>
      </c>
      <c r="G4" s="14">
        <f t="shared" si="1"/>
        <v>500</v>
      </c>
      <c r="H4" s="159"/>
      <c r="I4" s="82">
        <f>'Master Sheet_7-Mar-24'!G22</f>
        <v>655</v>
      </c>
      <c r="J4" s="83">
        <f t="shared" si="2"/>
        <v>245</v>
      </c>
      <c r="K4" s="63">
        <f t="shared" si="3"/>
        <v>2.911111111111111</v>
      </c>
      <c r="L4" s="15">
        <f>'Master Sheet_7-Mar-24'!H22</f>
        <v>0</v>
      </c>
      <c r="M4" s="17">
        <f t="shared" si="4"/>
        <v>500</v>
      </c>
      <c r="N4" s="63">
        <f t="shared" si="5"/>
        <v>0</v>
      </c>
      <c r="O4" s="82">
        <f t="shared" si="6"/>
        <v>655</v>
      </c>
      <c r="P4" s="82">
        <f t="shared" si="7"/>
        <v>745</v>
      </c>
      <c r="Q4" s="18">
        <f t="shared" si="8"/>
        <v>1.8714285714285714</v>
      </c>
    </row>
    <row r="5" spans="1:30" x14ac:dyDescent="0.35">
      <c r="A5" s="13" t="s">
        <v>16</v>
      </c>
      <c r="B5" s="14">
        <v>80</v>
      </c>
      <c r="C5" s="14">
        <v>30</v>
      </c>
      <c r="D5" s="14">
        <v>110</v>
      </c>
      <c r="E5" s="14">
        <f t="shared" si="0"/>
        <v>440</v>
      </c>
      <c r="F5" s="14">
        <f t="shared" si="1"/>
        <v>320</v>
      </c>
      <c r="G5" s="14">
        <f t="shared" si="1"/>
        <v>120</v>
      </c>
      <c r="H5" s="159"/>
      <c r="I5" s="15">
        <f>'Master Sheet_7-Mar-24'!G33</f>
        <v>175</v>
      </c>
      <c r="J5" s="17">
        <f t="shared" si="2"/>
        <v>145</v>
      </c>
      <c r="K5" s="63">
        <f t="shared" si="3"/>
        <v>2.1875</v>
      </c>
      <c r="L5" s="14">
        <f>'Master Sheet_7-Mar-24'!H33</f>
        <v>0</v>
      </c>
      <c r="M5" s="16">
        <f t="shared" si="4"/>
        <v>120</v>
      </c>
      <c r="N5" s="63">
        <f t="shared" si="5"/>
        <v>0</v>
      </c>
      <c r="O5" s="15">
        <f t="shared" si="6"/>
        <v>175</v>
      </c>
      <c r="P5" s="15">
        <f t="shared" si="7"/>
        <v>265</v>
      </c>
      <c r="Q5" s="18">
        <f t="shared" si="8"/>
        <v>1.5909090909090908</v>
      </c>
    </row>
    <row r="6" spans="1:30" x14ac:dyDescent="0.35">
      <c r="A6" s="13" t="s">
        <v>17</v>
      </c>
      <c r="B6" s="14">
        <v>40</v>
      </c>
      <c r="C6" s="14">
        <v>60</v>
      </c>
      <c r="D6" s="14">
        <v>100</v>
      </c>
      <c r="E6" s="14">
        <f t="shared" si="0"/>
        <v>400</v>
      </c>
      <c r="F6" s="14">
        <f t="shared" si="1"/>
        <v>160</v>
      </c>
      <c r="G6" s="14">
        <f t="shared" si="1"/>
        <v>240</v>
      </c>
      <c r="H6" s="159"/>
      <c r="I6" s="15">
        <f>'Master Sheet_7-Mar-24'!G41</f>
        <v>160</v>
      </c>
      <c r="J6" s="17">
        <f t="shared" si="2"/>
        <v>0</v>
      </c>
      <c r="K6" s="63">
        <f t="shared" si="3"/>
        <v>4</v>
      </c>
      <c r="L6" s="14">
        <f>'Master Sheet_7-Mar-24'!H41</f>
        <v>0</v>
      </c>
      <c r="M6" s="16">
        <f t="shared" si="4"/>
        <v>240</v>
      </c>
      <c r="N6" s="63">
        <f t="shared" si="5"/>
        <v>0</v>
      </c>
      <c r="O6" s="15">
        <f t="shared" si="6"/>
        <v>160</v>
      </c>
      <c r="P6" s="15">
        <f t="shared" si="7"/>
        <v>240</v>
      </c>
      <c r="Q6" s="18">
        <f t="shared" si="8"/>
        <v>1.6</v>
      </c>
    </row>
    <row r="7" spans="1:30" x14ac:dyDescent="0.35">
      <c r="A7" s="13" t="s">
        <v>18</v>
      </c>
      <c r="B7" s="14">
        <v>130</v>
      </c>
      <c r="C7" s="14">
        <v>10</v>
      </c>
      <c r="D7" s="14">
        <v>140</v>
      </c>
      <c r="E7" s="14">
        <f t="shared" si="0"/>
        <v>560</v>
      </c>
      <c r="F7" s="14">
        <f t="shared" si="1"/>
        <v>520</v>
      </c>
      <c r="G7" s="14">
        <f t="shared" si="1"/>
        <v>40</v>
      </c>
      <c r="H7" s="159"/>
      <c r="I7" s="15">
        <f>'Master Sheet_7-Mar-24'!G52</f>
        <v>395</v>
      </c>
      <c r="J7" s="17">
        <f t="shared" si="2"/>
        <v>125</v>
      </c>
      <c r="K7" s="63">
        <f t="shared" si="3"/>
        <v>3.0384615384615383</v>
      </c>
      <c r="L7" s="14">
        <f>'Master Sheet_7-Mar-24'!H52</f>
        <v>0</v>
      </c>
      <c r="M7" s="16">
        <f t="shared" si="4"/>
        <v>40</v>
      </c>
      <c r="N7" s="63">
        <f t="shared" si="5"/>
        <v>0</v>
      </c>
      <c r="O7" s="15">
        <f t="shared" si="6"/>
        <v>395</v>
      </c>
      <c r="P7" s="15">
        <f t="shared" si="7"/>
        <v>165</v>
      </c>
      <c r="Q7" s="18">
        <f t="shared" si="8"/>
        <v>2.8214285714285716</v>
      </c>
    </row>
    <row r="8" spans="1:30" x14ac:dyDescent="0.35">
      <c r="A8" s="19" t="s">
        <v>19</v>
      </c>
      <c r="B8" s="14">
        <v>46</v>
      </c>
      <c r="C8" s="14">
        <v>54</v>
      </c>
      <c r="D8" s="14">
        <v>100</v>
      </c>
      <c r="E8" s="14">
        <f t="shared" si="0"/>
        <v>400</v>
      </c>
      <c r="F8" s="14">
        <f t="shared" si="1"/>
        <v>184</v>
      </c>
      <c r="G8" s="14">
        <f t="shared" si="1"/>
        <v>216</v>
      </c>
      <c r="H8" s="159"/>
      <c r="I8" s="20">
        <f>'Master Sheet_7-Mar-24'!G63</f>
        <v>157</v>
      </c>
      <c r="J8" s="17">
        <f t="shared" si="2"/>
        <v>27</v>
      </c>
      <c r="K8" s="63">
        <f t="shared" si="3"/>
        <v>3.4130434782608696</v>
      </c>
      <c r="L8" s="20">
        <f>'Master Sheet_7-Mar-24'!H63</f>
        <v>0</v>
      </c>
      <c r="M8" s="16">
        <f t="shared" si="4"/>
        <v>216</v>
      </c>
      <c r="N8" s="63">
        <f t="shared" si="5"/>
        <v>0</v>
      </c>
      <c r="O8" s="15">
        <f t="shared" si="6"/>
        <v>157</v>
      </c>
      <c r="P8" s="15">
        <f t="shared" si="7"/>
        <v>243</v>
      </c>
      <c r="Q8" s="18">
        <f t="shared" si="8"/>
        <v>1.57</v>
      </c>
    </row>
    <row r="9" spans="1:30" x14ac:dyDescent="0.35">
      <c r="A9" s="14" t="s">
        <v>20</v>
      </c>
      <c r="B9" s="14">
        <v>30</v>
      </c>
      <c r="C9" s="14">
        <v>70</v>
      </c>
      <c r="D9" s="14">
        <v>100</v>
      </c>
      <c r="E9" s="14">
        <f t="shared" si="0"/>
        <v>400</v>
      </c>
      <c r="F9" s="14">
        <f t="shared" si="1"/>
        <v>120</v>
      </c>
      <c r="G9" s="14">
        <f t="shared" si="1"/>
        <v>280</v>
      </c>
      <c r="H9" s="159"/>
      <c r="I9" s="14">
        <f>'Master Sheet_7-Mar-24'!G71</f>
        <v>110</v>
      </c>
      <c r="J9" s="17">
        <f t="shared" si="2"/>
        <v>10</v>
      </c>
      <c r="K9" s="63">
        <f t="shared" si="3"/>
        <v>3.6666666666666665</v>
      </c>
      <c r="L9" s="14">
        <f>'Master Sheet_7-Mar-24'!H71</f>
        <v>0</v>
      </c>
      <c r="M9" s="16">
        <f t="shared" si="4"/>
        <v>280</v>
      </c>
      <c r="N9" s="63">
        <f t="shared" si="5"/>
        <v>0</v>
      </c>
      <c r="O9" s="15">
        <f t="shared" si="6"/>
        <v>110</v>
      </c>
      <c r="P9" s="15">
        <f t="shared" si="7"/>
        <v>290</v>
      </c>
      <c r="Q9" s="18">
        <f t="shared" si="8"/>
        <v>1.1000000000000001</v>
      </c>
    </row>
    <row r="10" spans="1:30" s="25" customFormat="1" x14ac:dyDescent="0.35">
      <c r="A10" s="21"/>
      <c r="B10" s="22">
        <f>SUM(B3:B9)</f>
        <v>621</v>
      </c>
      <c r="C10" s="22">
        <f>SUM(C3:C9)</f>
        <v>379</v>
      </c>
      <c r="D10" s="22">
        <f t="shared" ref="D10:G10" si="9">SUM(D3:D9)</f>
        <v>1000</v>
      </c>
      <c r="E10" s="22">
        <f t="shared" si="9"/>
        <v>4000</v>
      </c>
      <c r="F10" s="22">
        <f>SUM(F3:F9)</f>
        <v>2484</v>
      </c>
      <c r="G10" s="22">
        <f t="shared" si="9"/>
        <v>1516</v>
      </c>
      <c r="H10" s="160"/>
      <c r="I10" s="23">
        <f>SUM(I3:I9)</f>
        <v>1872</v>
      </c>
      <c r="J10" s="23">
        <f>SUM(J3:J9)</f>
        <v>612</v>
      </c>
      <c r="K10" s="64">
        <f t="shared" si="3"/>
        <v>3.0144927536231885</v>
      </c>
      <c r="L10" s="23">
        <f>SUM(L3:L9)</f>
        <v>0</v>
      </c>
      <c r="M10" s="23">
        <f>SUM(M3:M9)</f>
        <v>1516</v>
      </c>
      <c r="N10" s="64">
        <f t="shared" si="5"/>
        <v>0</v>
      </c>
      <c r="O10" s="23">
        <f>SUM(O3:O9)</f>
        <v>1872</v>
      </c>
      <c r="P10" s="23">
        <f>E10-O10</f>
        <v>2128</v>
      </c>
      <c r="Q10" s="24">
        <f t="shared" si="8"/>
        <v>1.8720000000000001</v>
      </c>
    </row>
    <row r="11" spans="1:30" x14ac:dyDescent="0.35">
      <c r="A11" s="94">
        <v>45358</v>
      </c>
      <c r="I11" s="113" t="s">
        <v>147</v>
      </c>
      <c r="J11" s="114"/>
      <c r="K11" s="113" t="s">
        <v>33</v>
      </c>
      <c r="L11" s="113" t="s">
        <v>148</v>
      </c>
      <c r="M11" s="115"/>
      <c r="N11" s="113" t="s">
        <v>34</v>
      </c>
      <c r="O11" s="113" t="s">
        <v>149</v>
      </c>
      <c r="P11" s="113" t="s">
        <v>150</v>
      </c>
      <c r="Q11" s="113" t="s">
        <v>65</v>
      </c>
    </row>
    <row r="12" spans="1:30" x14ac:dyDescent="0.35">
      <c r="I12" s="116">
        <f>I10/F10</f>
        <v>0.75362318840579712</v>
      </c>
      <c r="J12" s="57"/>
      <c r="K12" s="117">
        <f>K10</f>
        <v>3.0144927536231885</v>
      </c>
      <c r="L12" s="118">
        <f>L10/G10</f>
        <v>0</v>
      </c>
      <c r="M12" s="57"/>
      <c r="N12" s="117">
        <f>N10</f>
        <v>0</v>
      </c>
      <c r="O12" s="119">
        <f>O10/E10</f>
        <v>0.46800000000000003</v>
      </c>
      <c r="P12" s="120"/>
      <c r="Q12" s="117">
        <f>Q10</f>
        <v>1.8720000000000001</v>
      </c>
      <c r="V12" s="26"/>
      <c r="W12" s="26"/>
      <c r="X12" s="26"/>
    </row>
    <row r="13" spans="1:30" s="27" customFormat="1" x14ac:dyDescent="0.35">
      <c r="J13" s="85"/>
      <c r="K13" s="85"/>
      <c r="M13" s="85"/>
      <c r="N13" s="85"/>
      <c r="O13" s="85"/>
      <c r="Q13"/>
      <c r="R13" s="84"/>
    </row>
    <row r="14" spans="1:30" x14ac:dyDescent="0.35">
      <c r="A14" s="38" t="s">
        <v>151</v>
      </c>
      <c r="AC14" s="37"/>
    </row>
    <row r="15" spans="1:30" ht="15" thickBot="1" x14ac:dyDescent="0.4">
      <c r="A15" s="104"/>
      <c r="B15" s="105" t="s">
        <v>126</v>
      </c>
      <c r="C15" s="105" t="s">
        <v>127</v>
      </c>
      <c r="D15" s="105" t="s">
        <v>66</v>
      </c>
      <c r="E15" s="27"/>
      <c r="F15" s="27"/>
      <c r="G15" s="27"/>
      <c r="H15" s="27"/>
      <c r="I15" s="156" t="s">
        <v>64</v>
      </c>
      <c r="J15" s="157"/>
      <c r="K15" s="157"/>
      <c r="L15" s="157"/>
      <c r="Q15" s="27"/>
      <c r="R15" s="27"/>
      <c r="S15" s="27"/>
      <c r="T15" s="27"/>
      <c r="U15" s="27"/>
      <c r="V15" s="27"/>
      <c r="W15" s="27"/>
      <c r="X15" s="27"/>
      <c r="AC15" s="27"/>
      <c r="AD15" s="27"/>
    </row>
    <row r="16" spans="1:30" ht="15" thickBot="1" x14ac:dyDescent="0.4">
      <c r="A16" s="43" t="s">
        <v>128</v>
      </c>
      <c r="B16" s="106">
        <f>I12</f>
        <v>0.75362318840579712</v>
      </c>
      <c r="C16" s="92">
        <f>K12</f>
        <v>3.0144927536231885</v>
      </c>
      <c r="D16" s="130" t="s">
        <v>169</v>
      </c>
      <c r="I16" s="86" t="s">
        <v>1</v>
      </c>
      <c r="J16" s="86" t="s">
        <v>6</v>
      </c>
      <c r="K16" s="87" t="s">
        <v>65</v>
      </c>
      <c r="L16" s="87" t="s">
        <v>66</v>
      </c>
      <c r="R16" s="87" t="s">
        <v>66</v>
      </c>
    </row>
    <row r="17" spans="1:18" x14ac:dyDescent="0.35">
      <c r="A17" s="43" t="s">
        <v>129</v>
      </c>
      <c r="B17" s="106"/>
      <c r="C17" s="92"/>
      <c r="D17" s="33"/>
      <c r="I17" s="88">
        <f>$I$12</f>
        <v>0.75362318840579712</v>
      </c>
      <c r="J17" s="89">
        <v>0.57999999999999996</v>
      </c>
      <c r="K17" s="90">
        <f>($I$10+(J17*$G$10))/1000</f>
        <v>2.7512799999999999</v>
      </c>
      <c r="L17" s="90"/>
      <c r="R17" s="90" t="s">
        <v>169</v>
      </c>
    </row>
    <row r="18" spans="1:18" x14ac:dyDescent="0.35">
      <c r="A18" s="43" t="s">
        <v>130</v>
      </c>
      <c r="B18" s="106"/>
      <c r="C18" s="92"/>
      <c r="D18" s="33"/>
      <c r="I18" s="88">
        <f t="shared" ref="I18:I19" si="10">$I$12</f>
        <v>0.75362318840579712</v>
      </c>
      <c r="J18" s="89">
        <v>0.6</v>
      </c>
      <c r="K18" s="90">
        <f>($I$10+(J18*$G$10))/1000</f>
        <v>2.7816000000000001</v>
      </c>
      <c r="L18" s="90"/>
      <c r="R18" s="90" t="s">
        <v>169</v>
      </c>
    </row>
    <row r="19" spans="1:18" x14ac:dyDescent="0.35">
      <c r="I19" s="88">
        <f t="shared" si="10"/>
        <v>0.75362318840579712</v>
      </c>
      <c r="J19" s="91">
        <v>0.65</v>
      </c>
      <c r="K19" s="90">
        <f>($I$10+(J19*$G$10))/1000</f>
        <v>2.8574000000000002</v>
      </c>
      <c r="L19" s="90"/>
      <c r="R19" s="90" t="s">
        <v>169</v>
      </c>
    </row>
    <row r="22" spans="1:18" x14ac:dyDescent="0.35">
      <c r="A22" s="36" t="s">
        <v>27</v>
      </c>
    </row>
    <row r="23" spans="1:18" x14ac:dyDescent="0.35">
      <c r="A23" s="131" t="s">
        <v>173</v>
      </c>
    </row>
    <row r="24" spans="1:18" x14ac:dyDescent="0.35">
      <c r="A24" s="131" t="s">
        <v>174</v>
      </c>
    </row>
    <row r="25" spans="1:18" x14ac:dyDescent="0.35">
      <c r="A25" s="131" t="s">
        <v>175</v>
      </c>
    </row>
    <row r="26" spans="1:18" x14ac:dyDescent="0.35">
      <c r="A26" s="131" t="s">
        <v>176</v>
      </c>
    </row>
    <row r="27" spans="1:18" x14ac:dyDescent="0.35">
      <c r="A27" s="131" t="s">
        <v>177</v>
      </c>
    </row>
    <row r="28" spans="1:18" x14ac:dyDescent="0.35">
      <c r="A28" s="131" t="s">
        <v>178</v>
      </c>
    </row>
    <row r="30" spans="1:18" x14ac:dyDescent="0.35">
      <c r="A30" s="36" t="s">
        <v>28</v>
      </c>
    </row>
    <row r="31" spans="1:18" x14ac:dyDescent="0.35">
      <c r="A31" s="131" t="s">
        <v>179</v>
      </c>
    </row>
    <row r="32" spans="1:18" x14ac:dyDescent="0.35">
      <c r="A32" s="39" t="s">
        <v>180</v>
      </c>
    </row>
    <row r="33" spans="1:1" x14ac:dyDescent="0.35">
      <c r="A33" s="39" t="s">
        <v>181</v>
      </c>
    </row>
    <row r="34" spans="1:1" x14ac:dyDescent="0.35">
      <c r="A34" t="s">
        <v>182</v>
      </c>
    </row>
    <row r="40" spans="1:1" x14ac:dyDescent="0.35">
      <c r="A40" s="38" t="s">
        <v>29</v>
      </c>
    </row>
  </sheetData>
  <mergeCells count="3">
    <mergeCell ref="I15:L15"/>
    <mergeCell ref="H2:H10"/>
    <mergeCell ref="A1:Q1"/>
  </mergeCells>
  <pageMargins left="0.7" right="0.7" top="0.75" bottom="0.75" header="0.3" footer="0.3"/>
  <pageSetup paperSize="9"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
  <sheetViews>
    <sheetView workbookViewId="0">
      <pane xSplit="5" ySplit="1" topLeftCell="F2" activePane="bottomRight" state="frozen"/>
      <selection pane="topRight" activeCell="F1" sqref="F1"/>
      <selection pane="bottomLeft" activeCell="A2" sqref="A2"/>
      <selection pane="bottomRight" activeCell="A2" sqref="A2"/>
    </sheetView>
  </sheetViews>
  <sheetFormatPr defaultColWidth="9" defaultRowHeight="14.5" x14ac:dyDescent="0.35"/>
  <cols>
    <col min="1" max="1" width="42.1796875" bestFit="1" customWidth="1"/>
    <col min="2" max="2" width="12.26953125" customWidth="1"/>
    <col min="3" max="3" width="11.7265625" customWidth="1"/>
    <col min="4" max="4" width="11.26953125" customWidth="1"/>
    <col min="5" max="5" width="12.26953125" bestFit="1" customWidth="1"/>
    <col min="6" max="6" width="12.7265625" bestFit="1" customWidth="1"/>
    <col min="7" max="7" width="9" bestFit="1" customWidth="1"/>
    <col min="8" max="8" width="9.54296875" bestFit="1" customWidth="1"/>
    <col min="9" max="26" width="9.81640625" bestFit="1" customWidth="1"/>
    <col min="27" max="29" width="11.54296875" bestFit="1" customWidth="1"/>
  </cols>
  <sheetData>
    <row r="1" spans="1:26" x14ac:dyDescent="0.35">
      <c r="A1" s="163" t="s">
        <v>163</v>
      </c>
      <c r="B1" s="164"/>
      <c r="C1" s="164"/>
      <c r="D1" s="164"/>
      <c r="E1" s="164"/>
      <c r="F1" s="164"/>
      <c r="G1" s="164"/>
      <c r="H1" s="164"/>
      <c r="I1" s="164"/>
      <c r="J1" s="164"/>
      <c r="K1" s="164"/>
      <c r="L1" s="164"/>
      <c r="M1" s="164"/>
      <c r="N1" s="164"/>
      <c r="O1" s="164"/>
      <c r="P1" s="164"/>
      <c r="Q1" s="165"/>
      <c r="R1" s="80"/>
      <c r="S1" s="80"/>
      <c r="T1" s="80"/>
      <c r="U1" s="33"/>
      <c r="V1" s="33"/>
      <c r="W1" s="33"/>
    </row>
    <row r="2" spans="1:26" ht="29" x14ac:dyDescent="0.35">
      <c r="A2" s="44" t="s">
        <v>9</v>
      </c>
      <c r="B2" s="44" t="s">
        <v>45</v>
      </c>
      <c r="C2" s="44" t="s">
        <v>46</v>
      </c>
      <c r="D2" s="44" t="s">
        <v>47</v>
      </c>
      <c r="E2" s="45"/>
      <c r="F2" s="46" t="s">
        <v>48</v>
      </c>
      <c r="G2" s="46" t="s">
        <v>49</v>
      </c>
      <c r="H2" s="46" t="s">
        <v>63</v>
      </c>
      <c r="I2" s="47" t="s">
        <v>50</v>
      </c>
      <c r="J2" s="47" t="s">
        <v>12</v>
      </c>
      <c r="K2" s="47" t="s">
        <v>51</v>
      </c>
      <c r="L2" s="47" t="s">
        <v>25</v>
      </c>
      <c r="M2" s="47" t="s">
        <v>13</v>
      </c>
      <c r="N2" s="47" t="s">
        <v>52</v>
      </c>
      <c r="O2" s="47" t="s">
        <v>11</v>
      </c>
      <c r="P2" s="47" t="s">
        <v>31</v>
      </c>
      <c r="Q2" s="47" t="s">
        <v>58</v>
      </c>
      <c r="R2" s="47" t="s">
        <v>50</v>
      </c>
      <c r="S2" s="47" t="s">
        <v>12</v>
      </c>
      <c r="T2" s="47" t="s">
        <v>51</v>
      </c>
      <c r="U2" s="47" t="s">
        <v>25</v>
      </c>
      <c r="V2" s="47" t="s">
        <v>13</v>
      </c>
      <c r="W2" s="47" t="s">
        <v>52</v>
      </c>
      <c r="X2" s="47" t="s">
        <v>11</v>
      </c>
      <c r="Y2" s="47" t="s">
        <v>31</v>
      </c>
      <c r="Z2" s="47" t="s">
        <v>58</v>
      </c>
    </row>
    <row r="3" spans="1:26" x14ac:dyDescent="0.35">
      <c r="A3" s="166" t="s">
        <v>53</v>
      </c>
      <c r="B3" s="167"/>
      <c r="C3" s="167"/>
      <c r="D3" s="167"/>
      <c r="E3" s="167"/>
      <c r="F3" s="167"/>
      <c r="G3" s="167"/>
      <c r="H3" s="168"/>
      <c r="I3" s="48" t="s">
        <v>57</v>
      </c>
      <c r="J3" s="48" t="s">
        <v>57</v>
      </c>
      <c r="K3" s="48" t="s">
        <v>57</v>
      </c>
      <c r="L3" s="48" t="s">
        <v>57</v>
      </c>
      <c r="M3" s="48" t="s">
        <v>57</v>
      </c>
      <c r="N3" s="48" t="s">
        <v>57</v>
      </c>
      <c r="O3" s="48" t="s">
        <v>57</v>
      </c>
      <c r="P3" s="48" t="s">
        <v>57</v>
      </c>
      <c r="Q3" s="48" t="s">
        <v>57</v>
      </c>
      <c r="R3" s="48" t="s">
        <v>57</v>
      </c>
      <c r="S3" s="48" t="s">
        <v>57</v>
      </c>
      <c r="T3" s="48" t="s">
        <v>57</v>
      </c>
      <c r="U3" s="48" t="s">
        <v>57</v>
      </c>
      <c r="V3" s="48" t="s">
        <v>57</v>
      </c>
      <c r="W3" s="48" t="s">
        <v>57</v>
      </c>
      <c r="X3" s="48" t="s">
        <v>57</v>
      </c>
      <c r="Y3" s="48" t="s">
        <v>57</v>
      </c>
      <c r="Z3" s="48" t="s">
        <v>57</v>
      </c>
    </row>
    <row r="4" spans="1:26" x14ac:dyDescent="0.35">
      <c r="A4" s="13" t="s">
        <v>14</v>
      </c>
      <c r="B4" s="14">
        <v>100</v>
      </c>
      <c r="C4" s="33">
        <v>70</v>
      </c>
      <c r="D4" s="33">
        <v>30</v>
      </c>
      <c r="E4" s="171"/>
      <c r="F4" s="35">
        <f>C4*4</f>
        <v>280</v>
      </c>
      <c r="G4" s="35">
        <f>D4*4</f>
        <v>120</v>
      </c>
      <c r="H4" s="35">
        <f>SUM(F4:G4)</f>
        <v>400</v>
      </c>
      <c r="I4" s="49" t="e">
        <f ca="1">INDIRECT("'" &amp; "Overall Analysis_" &amp; TEXT($I$3,"d-mmm-yy")  &amp; "'!I3")</f>
        <v>#REF!</v>
      </c>
      <c r="J4" s="49" t="e">
        <f ca="1">INDIRECT("'" &amp; "Overall Analysis_" &amp; TEXT($I$3,"d-mmm-yy")  &amp; "'!j3")</f>
        <v>#REF!</v>
      </c>
      <c r="K4" s="50" t="e">
        <f ca="1">INDIRECT("'" &amp; "Overall Analysis_" &amp; TEXT($I$3,"d-mmm-yy")  &amp; "'!k3")</f>
        <v>#REF!</v>
      </c>
      <c r="L4" s="49" t="e">
        <f ca="1">INDIRECT("'" &amp; "Overall Analysis_" &amp; TEXT($I$3,"d-mmm-yy")  &amp; "'!l3")</f>
        <v>#REF!</v>
      </c>
      <c r="M4" s="49" t="e">
        <f ca="1">INDIRECT("'" &amp; "Overall Analysis_" &amp; TEXT($I$3,"d-mmm-yy")  &amp; "'!m3")</f>
        <v>#REF!</v>
      </c>
      <c r="N4" s="50" t="e">
        <f ca="1">INDIRECT("'" &amp; "Overall Analysis_" &amp; TEXT($I$3,"d-mmm-yy")  &amp; "'!n3")</f>
        <v>#REF!</v>
      </c>
      <c r="O4" s="65" t="e">
        <f ca="1">INDIRECT("'" &amp; "Overall Analysis_" &amp; TEXT($I$3,"d-mmm-yy")  &amp; "'!o3")</f>
        <v>#REF!</v>
      </c>
      <c r="P4" s="65" t="e">
        <f ca="1">INDIRECT("'" &amp; "Overall Analysis_" &amp; TEXT($I$3,"d-mmm-yy")  &amp; "'!p3")</f>
        <v>#REF!</v>
      </c>
      <c r="Q4" s="50" t="e">
        <f ca="1">INDIRECT("'" &amp; "Overall Analysis_" &amp; TEXT($I$3,"d-mmm-yy")  &amp; "'!q3")</f>
        <v>#REF!</v>
      </c>
      <c r="R4" s="68" t="e">
        <f ca="1">INDIRECT("'" &amp; "Overall Analysis_" &amp; TEXT($R$3,"d-mmm-yy")  &amp; "'!I3")</f>
        <v>#REF!</v>
      </c>
      <c r="S4" s="68" t="e">
        <f ca="1">INDIRECT("'" &amp; "Overall Analysis_" &amp; TEXT($R$3,"d-mmm-yy")  &amp; "'!j3")</f>
        <v>#REF!</v>
      </c>
      <c r="T4" s="69" t="e">
        <f ca="1">INDIRECT("'" &amp; "Overall Analysis_" &amp; TEXT($R$3,"d-mmm-yy")  &amp; "'!k3")</f>
        <v>#REF!</v>
      </c>
      <c r="U4" s="68" t="e">
        <f ca="1">INDIRECT("'" &amp; "Overall Analysis_" &amp; TEXT($R$3,"d-mmm-yy")  &amp; "'!l3")</f>
        <v>#REF!</v>
      </c>
      <c r="V4" s="68" t="e">
        <f ca="1">INDIRECT("'" &amp; "Overall Analysis_" &amp; TEXT($R$3,"d-mmm-yy")  &amp; "'!m3")</f>
        <v>#REF!</v>
      </c>
      <c r="W4" s="69" t="e">
        <f ca="1">INDIRECT("'" &amp; "Overall Analysis_" &amp; TEXT($R$3,"d-mmm-yy")  &amp; "'!n3")</f>
        <v>#REF!</v>
      </c>
      <c r="X4" s="68" t="e">
        <f ca="1">INDIRECT("'" &amp; "Overall Analysis_" &amp; TEXT($R$3,"d-mmm-yy")  &amp; "'!o3")</f>
        <v>#REF!</v>
      </c>
      <c r="Y4" s="68" t="e">
        <f ca="1">INDIRECT("'" &amp; "Overall Analysis_" &amp; TEXT($R$3,"d-mmm-yy")  &amp; "'!p3")</f>
        <v>#REF!</v>
      </c>
      <c r="Z4" s="69" t="e">
        <f ca="1">INDIRECT("'" &amp; "Overall Analysis_" &amp; TEXT($R$3,"d-mmm-yy")  &amp; "'!q3")</f>
        <v>#REF!</v>
      </c>
    </row>
    <row r="5" spans="1:26" x14ac:dyDescent="0.35">
      <c r="A5" s="13" t="s">
        <v>15</v>
      </c>
      <c r="B5" s="14">
        <v>350</v>
      </c>
      <c r="C5" s="33">
        <v>225</v>
      </c>
      <c r="D5" s="33">
        <v>125</v>
      </c>
      <c r="E5" s="171"/>
      <c r="F5" s="35">
        <f t="shared" ref="F5:G11" si="0">C5*4</f>
        <v>900</v>
      </c>
      <c r="G5" s="35">
        <f t="shared" si="0"/>
        <v>500</v>
      </c>
      <c r="H5" s="35">
        <f t="shared" ref="H5:H11" si="1">SUM(F5:G5)</f>
        <v>1400</v>
      </c>
      <c r="I5" s="65" t="e">
        <f ca="1">INDIRECT("'" &amp; "Overall Analysis_" &amp; TEXT($I$3,"d-mmm-yy")  &amp; "'!I4")</f>
        <v>#REF!</v>
      </c>
      <c r="J5" s="65" t="e">
        <f ca="1">INDIRECT("'" &amp; "Overall Analysis_" &amp; TEXT($I$3,"d-mmm-yy")  &amp; "'!j4")</f>
        <v>#REF!</v>
      </c>
      <c r="K5" s="50" t="e">
        <f ca="1">INDIRECT("'" &amp; "Overall Analysis_" &amp; TEXT($I$3,"d-mmm-yy")  &amp; "'!k4")</f>
        <v>#REF!</v>
      </c>
      <c r="L5" s="49" t="e">
        <f ca="1">INDIRECT("'" &amp; "Overall Analysis_" &amp; TEXT($I$3,"d-mmm-yy")  &amp; "'!l4")</f>
        <v>#REF!</v>
      </c>
      <c r="M5" s="49" t="e">
        <f ca="1">INDIRECT("'" &amp; "Overall Analysis_" &amp; TEXT($I$3,"d-mmm-yy")  &amp; "'!m4")</f>
        <v>#REF!</v>
      </c>
      <c r="N5" s="50" t="e">
        <f ca="1">INDIRECT("'" &amp; "Overall Analysis_" &amp; TEXT($I$3,"d-mmm-yy")  &amp; "'!n4")</f>
        <v>#REF!</v>
      </c>
      <c r="O5" s="65" t="e">
        <f ca="1">INDIRECT("'" &amp; "Overall Analysis_" &amp; TEXT($I$3,"d-mmm-yy")  &amp; "'!o4")</f>
        <v>#REF!</v>
      </c>
      <c r="P5" s="65" t="e">
        <f ca="1">INDIRECT("'" &amp; "Overall Analysis_" &amp; TEXT($I$3,"d-mmm-yy")  &amp; "'!p4")</f>
        <v>#REF!</v>
      </c>
      <c r="Q5" s="50" t="e">
        <f ca="1">INDIRECT("'" &amp; "Overall Analysis_" &amp; TEXT($I$3,"d-mmm-yy")  &amp; "'!q4")</f>
        <v>#REF!</v>
      </c>
      <c r="R5" s="70" t="e">
        <f ca="1">INDIRECT("'" &amp; "Overall Analysis_" &amp; TEXT($R$3,"d-mmm-yy")  &amp; "'!I4")</f>
        <v>#REF!</v>
      </c>
      <c r="S5" s="70" t="e">
        <f ca="1">INDIRECT("'" &amp; "Overall Analysis_" &amp; TEXT($R$3,"d-mmm-yy")  &amp; "'!j4")</f>
        <v>#REF!</v>
      </c>
      <c r="T5" s="69" t="e">
        <f ca="1">INDIRECT("'" &amp; "Overall Analysis_" &amp; TEXT($R$3,"d-mmm-yy")  &amp; "'!k4")</f>
        <v>#REF!</v>
      </c>
      <c r="U5" s="68" t="e">
        <f ca="1">INDIRECT("'" &amp; "Overall Analysis_" &amp; TEXT($R$3,"d-mmm-yy")  &amp; "'!l4")</f>
        <v>#REF!</v>
      </c>
      <c r="V5" s="68" t="e">
        <f ca="1">INDIRECT("'" &amp; "Overall Analysis_" &amp; TEXT($R$3,"d-mmm-yy")  &amp; "'!m4")</f>
        <v>#REF!</v>
      </c>
      <c r="W5" s="69" t="e">
        <f ca="1">INDIRECT("'" &amp; "Overall Analysis_" &amp; TEXT($R$3,"d-mmm-yy")  &amp; "'!n4")</f>
        <v>#REF!</v>
      </c>
      <c r="X5" s="68" t="e">
        <f ca="1">INDIRECT("'" &amp; "Overall Analysis_" &amp; TEXT($R$3,"d-mmm-yy")  &amp; "'!o4")</f>
        <v>#REF!</v>
      </c>
      <c r="Y5" s="68" t="e">
        <f ca="1">INDIRECT("'" &amp; "Overall Analysis_" &amp; TEXT($R$3,"d-mmm-yy")  &amp; "'!p4")</f>
        <v>#REF!</v>
      </c>
      <c r="Z5" s="69" t="e">
        <f ca="1">INDIRECT("'" &amp; "Overall Analysis_" &amp; TEXT($R$3,"d-mmm-yy")  &amp; "'!q4")</f>
        <v>#REF!</v>
      </c>
    </row>
    <row r="6" spans="1:26" x14ac:dyDescent="0.35">
      <c r="A6" s="13" t="s">
        <v>16</v>
      </c>
      <c r="B6" s="14">
        <v>110</v>
      </c>
      <c r="C6" s="33">
        <v>80</v>
      </c>
      <c r="D6" s="33">
        <v>30</v>
      </c>
      <c r="E6" s="171"/>
      <c r="F6" s="35">
        <f t="shared" si="0"/>
        <v>320</v>
      </c>
      <c r="G6" s="35">
        <f t="shared" si="0"/>
        <v>120</v>
      </c>
      <c r="H6" s="35">
        <f t="shared" si="1"/>
        <v>440</v>
      </c>
      <c r="I6" s="49" t="e">
        <f ca="1">INDIRECT("'" &amp; "Overall Analysis_" &amp; TEXT($I$3,"d-mmm-yy")  &amp; "'!I5")</f>
        <v>#REF!</v>
      </c>
      <c r="J6" s="49" t="e">
        <f ca="1">INDIRECT("'" &amp; "Overall Analysis_" &amp; TEXT($I$3,"d-mmm-yy")  &amp; "'!j5")</f>
        <v>#REF!</v>
      </c>
      <c r="K6" s="50" t="e">
        <f ca="1">INDIRECT("'" &amp; "Overall Analysis_" &amp; TEXT($I$3,"d-mmm-yy")  &amp; "'!k5")</f>
        <v>#REF!</v>
      </c>
      <c r="L6" s="49" t="e">
        <f ca="1">INDIRECT("'" &amp; "Overall Analysis_" &amp; TEXT($I$3,"d-mmm-yy")  &amp; "'!l5")</f>
        <v>#REF!</v>
      </c>
      <c r="M6" s="49" t="e">
        <f ca="1">INDIRECT("'" &amp; "Overall Analysis_" &amp; TEXT($I$3,"d-mmm-yy")  &amp; "'!m5")</f>
        <v>#REF!</v>
      </c>
      <c r="N6" s="50" t="e">
        <f ca="1">INDIRECT("'" &amp; "Overall Analysis_" &amp; TEXT($I$3,"d-mmm-yy")  &amp; "'!n5")</f>
        <v>#REF!</v>
      </c>
      <c r="O6" s="65" t="e">
        <f ca="1">INDIRECT("'" &amp; "Overall Analysis_" &amp; TEXT($I$3,"d-mmm-yy")  &amp; "'!o5")</f>
        <v>#REF!</v>
      </c>
      <c r="P6" s="65" t="e">
        <f ca="1">INDIRECT("'" &amp; "Overall Analysis_" &amp; TEXT($I$3,"d-mmm-yy")  &amp; "'!p5")</f>
        <v>#REF!</v>
      </c>
      <c r="Q6" s="50" t="e">
        <f ca="1">INDIRECT("'" &amp; "Overall Analysis_" &amp; TEXT($I$3,"d-mmm-yy")  &amp; "'!q5")</f>
        <v>#REF!</v>
      </c>
      <c r="R6" s="68" t="e">
        <f ca="1">INDIRECT("'" &amp; "Overall Analysis_" &amp; TEXT($R$3,"d-mmm-yy")  &amp; "'!I5")</f>
        <v>#REF!</v>
      </c>
      <c r="S6" s="68" t="e">
        <f ca="1">INDIRECT("'" &amp; "Overall Analysis_" &amp; TEXT($R$3,"d-mmm-yy")  &amp; "'!j5")</f>
        <v>#REF!</v>
      </c>
      <c r="T6" s="69" t="e">
        <f ca="1">INDIRECT("'" &amp; "Overall Analysis_" &amp; TEXT($R$3,"d-mmm-yy")  &amp; "'!k5")</f>
        <v>#REF!</v>
      </c>
      <c r="U6" s="68" t="e">
        <f ca="1">INDIRECT("'" &amp; "Overall Analysis_" &amp; TEXT($R$3,"d-mmm-yy")  &amp; "'!l5")</f>
        <v>#REF!</v>
      </c>
      <c r="V6" s="68" t="e">
        <f ca="1">INDIRECT("'" &amp; "Overall Analysis_" &amp; TEXT($R$3,"d-mmm-yy")  &amp; "'!m5")</f>
        <v>#REF!</v>
      </c>
      <c r="W6" s="69" t="e">
        <f ca="1">INDIRECT("'" &amp; "Overall Analysis_" &amp; TEXT($R$3,"d-mmm-yy")  &amp; "'!n5")</f>
        <v>#REF!</v>
      </c>
      <c r="X6" s="68" t="e">
        <f ca="1">INDIRECT("'" &amp; "Overall Analysis_" &amp; TEXT($R$3,"d-mmm-yy")  &amp; "'!o5")</f>
        <v>#REF!</v>
      </c>
      <c r="Y6" s="68" t="e">
        <f ca="1">INDIRECT("'" &amp; "Overall Analysis_" &amp; TEXT($R$3,"d-mmm-yy")  &amp; "'!p5")</f>
        <v>#REF!</v>
      </c>
      <c r="Z6" s="69" t="e">
        <f ca="1">INDIRECT("'" &amp; "Overall Analysis_" &amp; TEXT($R$3,"d-mmm-yy")  &amp; "'!q5")</f>
        <v>#REF!</v>
      </c>
    </row>
    <row r="7" spans="1:26" x14ac:dyDescent="0.35">
      <c r="A7" s="13" t="s">
        <v>17</v>
      </c>
      <c r="B7" s="14">
        <v>100</v>
      </c>
      <c r="C7" s="33">
        <v>40</v>
      </c>
      <c r="D7" s="33">
        <v>60</v>
      </c>
      <c r="E7" s="171"/>
      <c r="F7" s="35">
        <f t="shared" si="0"/>
        <v>160</v>
      </c>
      <c r="G7" s="35">
        <f t="shared" si="0"/>
        <v>240</v>
      </c>
      <c r="H7" s="35">
        <f t="shared" si="1"/>
        <v>400</v>
      </c>
      <c r="I7" s="49" t="e">
        <f ca="1">INDIRECT("'" &amp; "Overall Analysis_" &amp; TEXT($I$3,"d-mmm-yy")  &amp; "'!I6")</f>
        <v>#REF!</v>
      </c>
      <c r="J7" s="49" t="e">
        <f ca="1">INDIRECT("'" &amp; "Overall Analysis_" &amp; TEXT($I$3,"d-mmm-yy")  &amp; "'!j6")</f>
        <v>#REF!</v>
      </c>
      <c r="K7" s="50" t="e">
        <f ca="1">INDIRECT("'" &amp; "Overall Analysis_" &amp; TEXT($I$3,"d-mmm-yy")  &amp; "'!k6")</f>
        <v>#REF!</v>
      </c>
      <c r="L7" s="49" t="e">
        <f ca="1">INDIRECT("'" &amp; "Overall Analysis_" &amp; TEXT($I$3,"d-mmm-yy")  &amp; "'!l6")</f>
        <v>#REF!</v>
      </c>
      <c r="M7" s="49" t="e">
        <f ca="1">INDIRECT("'" &amp; "Overall Analysis_" &amp; TEXT($I$3,"d-mmm-yy")  &amp; "'!m6")</f>
        <v>#REF!</v>
      </c>
      <c r="N7" s="50" t="e">
        <f ca="1">INDIRECT("'" &amp; "Overall Analysis_" &amp; TEXT($I$3,"d-mmm-yy")  &amp; "'!n6")</f>
        <v>#REF!</v>
      </c>
      <c r="O7" s="65" t="e">
        <f ca="1">INDIRECT("'" &amp; "Overall Analysis_" &amp; TEXT($I$3,"d-mmm-yy")  &amp; "'!o6")</f>
        <v>#REF!</v>
      </c>
      <c r="P7" s="65" t="e">
        <f ca="1">INDIRECT("'" &amp; "Overall Analysis_" &amp; TEXT($I$3,"d-mmm-yy")  &amp; "'!p6")</f>
        <v>#REF!</v>
      </c>
      <c r="Q7" s="50" t="e">
        <f ca="1">INDIRECT("'" &amp; "Overall Analysis_" &amp; TEXT($I$3,"d-mmm-yy")  &amp; "'!q6")</f>
        <v>#REF!</v>
      </c>
      <c r="R7" s="68" t="e">
        <f ca="1">INDIRECT("'" &amp; "Overall Analysis_" &amp; TEXT($R$3,"d-mmm-yy")  &amp; "'!I6")</f>
        <v>#REF!</v>
      </c>
      <c r="S7" s="68" t="e">
        <f ca="1">INDIRECT("'" &amp; "Overall Analysis_" &amp; TEXT($R$3,"d-mmm-yy")  &amp; "'!j6")</f>
        <v>#REF!</v>
      </c>
      <c r="T7" s="69" t="e">
        <f ca="1">INDIRECT("'" &amp; "Overall Analysis_" &amp; TEXT($R$3,"d-mmm-yy")  &amp; "'!k6")</f>
        <v>#REF!</v>
      </c>
      <c r="U7" s="68" t="e">
        <f ca="1">INDIRECT("'" &amp; "Overall Analysis_" &amp; TEXT($R$3,"d-mmm-yy")  &amp; "'!l6")</f>
        <v>#REF!</v>
      </c>
      <c r="V7" s="68" t="e">
        <f ca="1">INDIRECT("'" &amp; "Overall Analysis_" &amp; TEXT($R$3,"d-mmm-yy")  &amp; "'!m6")</f>
        <v>#REF!</v>
      </c>
      <c r="W7" s="69" t="e">
        <f ca="1">INDIRECT("'" &amp; "Overall Analysis_" &amp; TEXT($R$3,"d-mmm-yy")  &amp; "'!n6")</f>
        <v>#REF!</v>
      </c>
      <c r="X7" s="68" t="e">
        <f ca="1">INDIRECT("'" &amp; "Overall Analysis_" &amp; TEXT($R$3,"d-mmm-yy")  &amp; "'!o6")</f>
        <v>#REF!</v>
      </c>
      <c r="Y7" s="68" t="e">
        <f ca="1">INDIRECT("'" &amp; "Overall Analysis_" &amp; TEXT($R$3,"d-mmm-yy")  &amp; "'!p6")</f>
        <v>#REF!</v>
      </c>
      <c r="Z7" s="69" t="e">
        <f ca="1">INDIRECT("'" &amp; "Overall Analysis_" &amp; TEXT($R$3,"d-mmm-yy")  &amp; "'!q6")</f>
        <v>#REF!</v>
      </c>
    </row>
    <row r="8" spans="1:26" x14ac:dyDescent="0.35">
      <c r="A8" s="13" t="s">
        <v>18</v>
      </c>
      <c r="B8" s="14">
        <v>140</v>
      </c>
      <c r="C8" s="33">
        <v>130</v>
      </c>
      <c r="D8" s="33">
        <v>10</v>
      </c>
      <c r="E8" s="171"/>
      <c r="F8" s="35">
        <f t="shared" si="0"/>
        <v>520</v>
      </c>
      <c r="G8" s="35">
        <f t="shared" si="0"/>
        <v>40</v>
      </c>
      <c r="H8" s="35">
        <f t="shared" si="1"/>
        <v>560</v>
      </c>
      <c r="I8" s="49" t="e">
        <f ca="1">INDIRECT("'" &amp; "Overall Analysis_" &amp; TEXT($I$3,"d-mmm-yy")  &amp; "'!I7")</f>
        <v>#REF!</v>
      </c>
      <c r="J8" s="49" t="e">
        <f ca="1">INDIRECT("'" &amp; "Overall Analysis_" &amp; TEXT($I$3,"d-mmm-yy")  &amp; "'!j7")</f>
        <v>#REF!</v>
      </c>
      <c r="K8" s="50" t="e">
        <f ca="1">INDIRECT("'" &amp; "Overall Analysis_" &amp; TEXT($I$3,"d-mmm-yy")  &amp; "'!k7")</f>
        <v>#REF!</v>
      </c>
      <c r="L8" s="49" t="e">
        <f ca="1">INDIRECT("'" &amp; "Overall Analysis_" &amp; TEXT($I$3,"d-mmm-yy")  &amp; "'!l7")</f>
        <v>#REF!</v>
      </c>
      <c r="M8" s="49" t="e">
        <f ca="1">INDIRECT("'" &amp; "Overall Analysis_" &amp; TEXT($I$3,"d-mmm-yy")  &amp; "'!m7")</f>
        <v>#REF!</v>
      </c>
      <c r="N8" s="50" t="e">
        <f ca="1">INDIRECT("'" &amp; "Overall Analysis_" &amp; TEXT($I$3,"d-mmm-yy")  &amp; "'!n7")</f>
        <v>#REF!</v>
      </c>
      <c r="O8" s="65" t="e">
        <f ca="1">INDIRECT("'" &amp; "Overall Analysis_" &amp; TEXT($I$3,"d-mmm-yy")  &amp; "'!o7")</f>
        <v>#REF!</v>
      </c>
      <c r="P8" s="65" t="e">
        <f ca="1">INDIRECT("'" &amp; "Overall Analysis_" &amp; TEXT($I$3,"d-mmm-yy")  &amp; "'!p7")</f>
        <v>#REF!</v>
      </c>
      <c r="Q8" s="50" t="e">
        <f ca="1">INDIRECT("'" &amp; "Overall Analysis_" &amp; TEXT($I$3,"d-mmm-yy")  &amp; "'!q7")</f>
        <v>#REF!</v>
      </c>
      <c r="R8" s="68" t="e">
        <f ca="1">INDIRECT("'" &amp; "Overall Analysis_" &amp; TEXT($R$3,"d-mmm-yy")  &amp; "'!I7")</f>
        <v>#REF!</v>
      </c>
      <c r="S8" s="68" t="e">
        <f ca="1">INDIRECT("'" &amp; "Overall Analysis_" &amp; TEXT($R$3,"d-mmm-yy")  &amp; "'!j7")</f>
        <v>#REF!</v>
      </c>
      <c r="T8" s="69" t="e">
        <f ca="1">INDIRECT("'" &amp; "Overall Analysis_" &amp; TEXT($R$3,"d-mmm-yy")  &amp; "'!k7")</f>
        <v>#REF!</v>
      </c>
      <c r="U8" s="68" t="e">
        <f ca="1">INDIRECT("'" &amp; "Overall Analysis_" &amp; TEXT($R$3,"d-mmm-yy")  &amp; "'!l7")</f>
        <v>#REF!</v>
      </c>
      <c r="V8" s="68" t="e">
        <f ca="1">INDIRECT("'" &amp; "Overall Analysis_" &amp; TEXT($R$3,"d-mmm-yy")  &amp; "'!m7")</f>
        <v>#REF!</v>
      </c>
      <c r="W8" s="69" t="e">
        <f ca="1">INDIRECT("'" &amp; "Overall Analysis_" &amp; TEXT($R$3,"d-mmm-yy")  &amp; "'!n7")</f>
        <v>#REF!</v>
      </c>
      <c r="X8" s="68" t="e">
        <f ca="1">INDIRECT("'" &amp; "Overall Analysis_" &amp; TEXT($R$3,"d-mmm-yy")  &amp; "'!o7")</f>
        <v>#REF!</v>
      </c>
      <c r="Y8" s="68" t="e">
        <f ca="1">INDIRECT("'" &amp; "Overall Analysis_" &amp; TEXT($R$3,"d-mmm-yy")  &amp; "'!p7")</f>
        <v>#REF!</v>
      </c>
      <c r="Z8" s="69" t="e">
        <f ca="1">INDIRECT("'" &amp; "Overall Analysis_" &amp; TEXT($R$3,"d-mmm-yy")  &amp; "'!q7")</f>
        <v>#REF!</v>
      </c>
    </row>
    <row r="9" spans="1:26" x14ac:dyDescent="0.35">
      <c r="A9" s="19" t="s">
        <v>19</v>
      </c>
      <c r="B9" s="14">
        <v>100</v>
      </c>
      <c r="C9" s="33">
        <v>46</v>
      </c>
      <c r="D9" s="33">
        <v>54</v>
      </c>
      <c r="E9" s="171"/>
      <c r="F9" s="35">
        <f t="shared" si="0"/>
        <v>184</v>
      </c>
      <c r="G9" s="35">
        <f t="shared" si="0"/>
        <v>216</v>
      </c>
      <c r="H9" s="35">
        <f t="shared" si="1"/>
        <v>400</v>
      </c>
      <c r="I9" s="49" t="e">
        <f ca="1">INDIRECT("'" &amp; "Overall Analysis_" &amp; TEXT($I$3,"d-mmm-yy")  &amp; "'!i8")</f>
        <v>#REF!</v>
      </c>
      <c r="J9" s="49" t="e">
        <f ca="1">INDIRECT("'" &amp; "Overall Analysis_" &amp; TEXT($I$3,"d-mmm-yy")  &amp; "'!j8")</f>
        <v>#REF!</v>
      </c>
      <c r="K9" s="50" t="e">
        <f ca="1">INDIRECT("'" &amp; "Overall Analysis_" &amp; TEXT($I$3,"d-mmm-yy")  &amp; "'!k8")</f>
        <v>#REF!</v>
      </c>
      <c r="L9" s="49" t="e">
        <f ca="1">INDIRECT("'" &amp; "Overall Analysis_" &amp; TEXT($I$3,"d-mmm-yy")  &amp; "'!l8")</f>
        <v>#REF!</v>
      </c>
      <c r="M9" s="49" t="e">
        <f ca="1">INDIRECT("'" &amp; "Overall Analysis_" &amp; TEXT($I$3,"d-mmm-yy")  &amp; "'!m8")</f>
        <v>#REF!</v>
      </c>
      <c r="N9" s="50" t="e">
        <f ca="1">INDIRECT("'" &amp; "Overall Analysis_" &amp; TEXT($I$3,"d-mmm-yy")  &amp; "'!n8")</f>
        <v>#REF!</v>
      </c>
      <c r="O9" s="65" t="e">
        <f ca="1">INDIRECT("'" &amp; "Overall Analysis_" &amp; TEXT($I$3,"d-mmm-yy")  &amp; "'!o8")</f>
        <v>#REF!</v>
      </c>
      <c r="P9" s="65" t="e">
        <f ca="1">INDIRECT("'" &amp; "Overall Analysis_" &amp; TEXT($I$3,"d-mmm-yy")  &amp; "'!p8")</f>
        <v>#REF!</v>
      </c>
      <c r="Q9" s="50" t="e">
        <f ca="1">INDIRECT("'" &amp; "Overall Analysis_" &amp; TEXT($I$3,"d-mmm-yy")  &amp; "'!q8")</f>
        <v>#REF!</v>
      </c>
      <c r="R9" s="68" t="e">
        <f ca="1">INDIRECT("'" &amp; "Overall Analysis_" &amp; TEXT($R$3,"d-mmm-yy")  &amp; "'!i8")</f>
        <v>#REF!</v>
      </c>
      <c r="S9" s="68" t="e">
        <f ca="1">INDIRECT("'" &amp; "Overall Analysis_" &amp; TEXT($R$3,"d-mmm-yy")  &amp; "'!j8")</f>
        <v>#REF!</v>
      </c>
      <c r="T9" s="69" t="e">
        <f ca="1">INDIRECT("'" &amp; "Overall Analysis_" &amp; TEXT($R$3,"d-mmm-yy")  &amp; "'!k8")</f>
        <v>#REF!</v>
      </c>
      <c r="U9" s="68" t="e">
        <f ca="1">INDIRECT("'" &amp; "Overall Analysis_" &amp; TEXT($R$3,"d-mmm-yy")  &amp; "'!l8")</f>
        <v>#REF!</v>
      </c>
      <c r="V9" s="68" t="e">
        <f ca="1">INDIRECT("'" &amp; "Overall Analysis_" &amp; TEXT($R$3,"d-mmm-yy")  &amp; "'!m8")</f>
        <v>#REF!</v>
      </c>
      <c r="W9" s="69" t="e">
        <f ca="1">INDIRECT("'" &amp; "Overall Analysis_" &amp; TEXT($R$3,"d-mmm-yy")  &amp; "'!n8")</f>
        <v>#REF!</v>
      </c>
      <c r="X9" s="68" t="e">
        <f ca="1">INDIRECT("'" &amp; "Overall Analysis_" &amp; TEXT($R$3,"d-mmm-yy")  &amp; "'!o8")</f>
        <v>#REF!</v>
      </c>
      <c r="Y9" s="68" t="e">
        <f ca="1">INDIRECT("'" &amp; "Overall Analysis_" &amp; TEXT($R$3,"d-mmm-yy")  &amp; "'!p8")</f>
        <v>#REF!</v>
      </c>
      <c r="Z9" s="69" t="e">
        <f ca="1">INDIRECT("'" &amp; "Overall Analysis_" &amp; TEXT($R$3,"d-mmm-yy")  &amp; "'!q8")</f>
        <v>#REF!</v>
      </c>
    </row>
    <row r="10" spans="1:26" x14ac:dyDescent="0.35">
      <c r="A10" s="14" t="s">
        <v>20</v>
      </c>
      <c r="B10" s="14">
        <v>100</v>
      </c>
      <c r="C10" s="33">
        <v>30</v>
      </c>
      <c r="D10" s="33">
        <v>70</v>
      </c>
      <c r="E10" s="171"/>
      <c r="F10" s="35">
        <f t="shared" si="0"/>
        <v>120</v>
      </c>
      <c r="G10" s="35">
        <f t="shared" si="0"/>
        <v>280</v>
      </c>
      <c r="H10" s="35">
        <f t="shared" si="1"/>
        <v>400</v>
      </c>
      <c r="I10" s="49" t="e">
        <f ca="1">INDIRECT("'" &amp; "Overall Analysis_" &amp; TEXT($I$3,"d-mmm-yy")  &amp; "'!i9")</f>
        <v>#REF!</v>
      </c>
      <c r="J10" s="49" t="e">
        <f ca="1">INDIRECT("'" &amp; "Overall Analysis_" &amp; TEXT($I$3,"d-mmm-yy")  &amp; "'!j9")</f>
        <v>#REF!</v>
      </c>
      <c r="K10" s="50" t="e">
        <f ca="1">INDIRECT("'" &amp; "Overall Analysis_" &amp; TEXT($I$3,"d-mmm-yy")  &amp; "'!k9")</f>
        <v>#REF!</v>
      </c>
      <c r="L10" s="49" t="e">
        <f ca="1">INDIRECT("'" &amp; "Overall Analysis_" &amp; TEXT($I$3,"d-mmm-yy")  &amp; "'!l9")</f>
        <v>#REF!</v>
      </c>
      <c r="M10" s="49" t="e">
        <f ca="1">INDIRECT("'" &amp; "Overall Analysis_" &amp; TEXT($I$3,"d-mmm-yy")  &amp; "'!m9")</f>
        <v>#REF!</v>
      </c>
      <c r="N10" s="50" t="e">
        <f ca="1">INDIRECT("'" &amp; "Overall Analysis_" &amp; TEXT($I$3,"d-mmm-yy")  &amp; "'!n9")</f>
        <v>#REF!</v>
      </c>
      <c r="O10" s="65" t="e">
        <f ca="1">INDIRECT("'" &amp; "Overall Analysis_" &amp; TEXT($I$3,"d-mmm-yy")  &amp; "'!o9")</f>
        <v>#REF!</v>
      </c>
      <c r="P10" s="65" t="e">
        <f ca="1">INDIRECT("'" &amp; "Overall Analysis_" &amp; TEXT($I$3,"d-mmm-yy")  &amp; "'!p9")</f>
        <v>#REF!</v>
      </c>
      <c r="Q10" s="50" t="e">
        <f ca="1">INDIRECT("'" &amp; "Overall Analysis_" &amp; TEXT($I$3,"d-mmm-yy")  &amp; "'!q9")</f>
        <v>#REF!</v>
      </c>
      <c r="R10" s="68" t="e">
        <f ca="1">INDIRECT("'" &amp; "Overall Analysis_" &amp; TEXT($R$3,"d-mmm-yy")  &amp; "'!i9")</f>
        <v>#REF!</v>
      </c>
      <c r="S10" s="68" t="e">
        <f ca="1">INDIRECT("'" &amp; "Overall Analysis_" &amp; TEXT($R$3,"d-mmm-yy")  &amp; "'!j9")</f>
        <v>#REF!</v>
      </c>
      <c r="T10" s="69" t="e">
        <f ca="1">INDIRECT("'" &amp; "Overall Analysis_" &amp; TEXT($R$3,"d-mmm-yy")  &amp; "'!k9")</f>
        <v>#REF!</v>
      </c>
      <c r="U10" s="68" t="e">
        <f ca="1">INDIRECT("'" &amp; "Overall Analysis_" &amp; TEXT($R$3,"d-mmm-yy")  &amp; "'!l9")</f>
        <v>#REF!</v>
      </c>
      <c r="V10" s="68" t="e">
        <f ca="1">INDIRECT("'" &amp; "Overall Analysis_" &amp; TEXT($R$3,"d-mmm-yy")  &amp; "'!m9")</f>
        <v>#REF!</v>
      </c>
      <c r="W10" s="69" t="e">
        <f ca="1">INDIRECT("'" &amp; "Overall Analysis_" &amp; TEXT($R$3,"d-mmm-yy")  &amp; "'!n9")</f>
        <v>#REF!</v>
      </c>
      <c r="X10" s="68" t="e">
        <f ca="1">INDIRECT("'" &amp; "Overall Analysis_" &amp; TEXT($R$3,"d-mmm-yy")  &amp; "'!o9")</f>
        <v>#REF!</v>
      </c>
      <c r="Y10" s="68" t="e">
        <f ca="1">INDIRECT("'" &amp; "Overall Analysis_" &amp; TEXT($R$3,"d-mmm-yy")  &amp; "'!p9")</f>
        <v>#REF!</v>
      </c>
      <c r="Z10" s="69" t="e">
        <f ca="1">INDIRECT("'" &amp; "Overall Analysis_" &amp; TEXT($R$3,"d-mmm-yy")  &amp; "'!q9")</f>
        <v>#REF!</v>
      </c>
    </row>
    <row r="11" spans="1:26" x14ac:dyDescent="0.35">
      <c r="A11" s="33"/>
      <c r="B11" s="51">
        <f>SUM(B4:B10)</f>
        <v>1000</v>
      </c>
      <c r="C11" s="51">
        <f>SUM(C4:C10)</f>
        <v>621</v>
      </c>
      <c r="D11" s="51">
        <f>SUM(D4:D10)</f>
        <v>379</v>
      </c>
      <c r="E11" s="171"/>
      <c r="F11" s="52">
        <f t="shared" si="0"/>
        <v>2484</v>
      </c>
      <c r="G11" s="52">
        <f t="shared" si="0"/>
        <v>1516</v>
      </c>
      <c r="H11" s="52">
        <f t="shared" si="1"/>
        <v>4000</v>
      </c>
      <c r="I11" s="66" t="e">
        <f ca="1">INDIRECT("'" &amp; "Overall Analysis_" &amp; TEXT($I$3,"d-mmm-yy")  &amp; "'!i10")</f>
        <v>#REF!</v>
      </c>
      <c r="J11" s="66" t="e">
        <f ca="1">INDIRECT("'" &amp; "Overall Analysis_" &amp; TEXT($I$3,"d-mmm-yy")  &amp; "'!j10")</f>
        <v>#REF!</v>
      </c>
      <c r="K11" s="54" t="e">
        <f ca="1">INDIRECT("'" &amp; "Overall Analysis_" &amp; TEXT($I$3,"d-mmm-yy")  &amp; "'!k10")</f>
        <v>#REF!</v>
      </c>
      <c r="L11" s="53" t="e">
        <f ca="1">INDIRECT("'" &amp; "Overall Analysis_" &amp; TEXT($I$3,"d-mmm-yy")  &amp; "'!l10")</f>
        <v>#REF!</v>
      </c>
      <c r="M11" s="53" t="e">
        <f ca="1">INDIRECT("'" &amp; "Overall Analysis_" &amp; TEXT($I$3,"d-mmm-yy")  &amp; "'!m10")</f>
        <v>#REF!</v>
      </c>
      <c r="N11" s="54" t="e">
        <f ca="1">INDIRECT("'" &amp; "Overall Analysis_" &amp; TEXT($I$3,"d-mmm-yy")  &amp; "'!n10")</f>
        <v>#REF!</v>
      </c>
      <c r="O11" s="66" t="e">
        <f ca="1">INDIRECT("'" &amp; "Overall Analysis_" &amp; TEXT($I$3,"d-mmm-yy")  &amp; "'!o10")</f>
        <v>#REF!</v>
      </c>
      <c r="P11" s="66" t="e">
        <f ca="1">INDIRECT("'" &amp; "Overall Analysis_" &amp; TEXT($I$3,"d-mmm-yy")  &amp; "'!p10")</f>
        <v>#REF!</v>
      </c>
      <c r="Q11" s="54" t="e">
        <f ca="1">INDIRECT("'" &amp; "Overall Analysis_" &amp; TEXT($I$3,"d-mmm-yy")  &amp; "'!q10")</f>
        <v>#REF!</v>
      </c>
      <c r="R11" s="71" t="e">
        <f ca="1">INDIRECT("'" &amp; "Overall Analysis_" &amp; TEXT($R$3,"d-mmm-yy")  &amp; "'!i10")</f>
        <v>#REF!</v>
      </c>
      <c r="S11" s="71" t="e">
        <f ca="1">INDIRECT("'" &amp; "Overall Analysis_" &amp; TEXT($R$3,"d-mmm-yy")  &amp; "'!j10")</f>
        <v>#REF!</v>
      </c>
      <c r="T11" s="72" t="e">
        <f ca="1">INDIRECT("'" &amp; "Overall Analysis_" &amp; TEXT($R$3,"d-mmm-yy")  &amp; "'!k10")</f>
        <v>#REF!</v>
      </c>
      <c r="U11" s="73" t="e">
        <f ca="1">INDIRECT("'" &amp; "Overall Analysis_" &amp; TEXT($R$3,"d-mmm-yy")  &amp; "'!l10")</f>
        <v>#REF!</v>
      </c>
      <c r="V11" s="73" t="e">
        <f ca="1">INDIRECT("'" &amp; "Overall Analysis_" &amp; TEXT($R$3,"d-mmm-yy")  &amp; "'!m10")</f>
        <v>#REF!</v>
      </c>
      <c r="W11" s="72" t="e">
        <f ca="1">INDIRECT("'" &amp; "Overall Analysis_" &amp; TEXT($R$3,"d-mmm-yy")  &amp; "'!n10")</f>
        <v>#REF!</v>
      </c>
      <c r="X11" s="71" t="e">
        <f ca="1">INDIRECT("'" &amp; "Overall Analysis_" &amp; TEXT($R$3,"d-mmm-yy")  &amp; "'!o10")</f>
        <v>#REF!</v>
      </c>
      <c r="Y11" s="71" t="e">
        <f ca="1">INDIRECT("'" &amp; "Overall Analysis_" &amp; TEXT($R$3,"d-mmm-yy")  &amp; "'!p10")</f>
        <v>#REF!</v>
      </c>
      <c r="Z11" s="72" t="e">
        <f ca="1">INDIRECT("'" &amp; "Overall Analysis_" &amp; TEXT($R$3,"d-mmm-yy")  &amp; "'!q10")</f>
        <v>#REF!</v>
      </c>
    </row>
    <row r="12" spans="1:26" x14ac:dyDescent="0.35">
      <c r="A12" s="55"/>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x14ac:dyDescent="0.35">
      <c r="A13" s="57"/>
      <c r="B13" s="57"/>
      <c r="C13" s="57"/>
      <c r="D13" s="57"/>
      <c r="E13" s="57"/>
      <c r="F13" s="57"/>
      <c r="G13" s="57"/>
      <c r="H13" s="57"/>
      <c r="I13" s="58" t="e">
        <f ca="1">I11/$F$11</f>
        <v>#REF!</v>
      </c>
      <c r="J13" s="58"/>
      <c r="K13" s="58"/>
      <c r="L13" s="58" t="e">
        <f ca="1">L11/$G$11</f>
        <v>#REF!</v>
      </c>
      <c r="M13" s="58"/>
      <c r="N13" s="58"/>
      <c r="O13" s="58" t="e">
        <f ca="1">O11/$H$11</f>
        <v>#REF!</v>
      </c>
      <c r="P13" s="58"/>
      <c r="Q13" s="59" t="s">
        <v>131</v>
      </c>
      <c r="R13" s="74" t="e">
        <f ca="1">R11/$F$11</f>
        <v>#REF!</v>
      </c>
      <c r="S13" s="74"/>
      <c r="T13" s="74"/>
      <c r="U13" s="74" t="e">
        <f ca="1">U11/$G$11</f>
        <v>#REF!</v>
      </c>
      <c r="V13" s="74"/>
      <c r="W13" s="74"/>
      <c r="X13" s="74" t="e">
        <f ca="1">X11/$H$11</f>
        <v>#REF!</v>
      </c>
      <c r="Y13" s="74"/>
      <c r="Z13" s="75" t="s">
        <v>59</v>
      </c>
    </row>
    <row r="15" spans="1:26" x14ac:dyDescent="0.35">
      <c r="B15" s="169" t="s">
        <v>60</v>
      </c>
      <c r="C15" s="169"/>
      <c r="D15" s="169"/>
      <c r="E15" s="169"/>
    </row>
    <row r="16" spans="1:26" x14ac:dyDescent="0.35">
      <c r="B16" s="170"/>
      <c r="C16" s="170"/>
      <c r="D16" s="170"/>
      <c r="E16" s="170"/>
    </row>
    <row r="17" spans="2:5" x14ac:dyDescent="0.35">
      <c r="B17" s="41" t="s">
        <v>32</v>
      </c>
      <c r="C17" s="41" t="s">
        <v>1</v>
      </c>
      <c r="D17" s="41" t="s">
        <v>6</v>
      </c>
      <c r="E17" s="41" t="s">
        <v>2</v>
      </c>
    </row>
    <row r="18" spans="2:5" x14ac:dyDescent="0.35">
      <c r="B18" s="77" t="s">
        <v>57</v>
      </c>
      <c r="C18" s="78" t="e">
        <f ca="1">I11/$F$11</f>
        <v>#REF!</v>
      </c>
      <c r="D18" s="78" t="e">
        <f ca="1">L11/$G$11</f>
        <v>#REF!</v>
      </c>
      <c r="E18" s="78" t="e">
        <f ca="1">O11/SUM($F$11:$G$11)</f>
        <v>#REF!</v>
      </c>
    </row>
    <row r="19" spans="2:5" x14ac:dyDescent="0.35">
      <c r="B19" s="77" t="s">
        <v>57</v>
      </c>
      <c r="C19" s="78" t="e">
        <f ca="1">R11/$F$11</f>
        <v>#REF!</v>
      </c>
      <c r="D19" s="78" t="e">
        <f ca="1">U11/$G$11</f>
        <v>#REF!</v>
      </c>
      <c r="E19" s="78" t="e">
        <f ca="1">X11/SUM($F$11:$G$11)</f>
        <v>#REF!</v>
      </c>
    </row>
    <row r="20" spans="2:5" x14ac:dyDescent="0.35">
      <c r="B20" s="42"/>
      <c r="C20" s="61"/>
      <c r="D20" s="61"/>
      <c r="E20" s="61"/>
    </row>
    <row r="21" spans="2:5" x14ac:dyDescent="0.35">
      <c r="B21" s="76"/>
      <c r="C21" s="37"/>
      <c r="D21" s="37"/>
      <c r="E21" s="37"/>
    </row>
    <row r="22" spans="2:5" x14ac:dyDescent="0.35">
      <c r="B22" s="76"/>
      <c r="C22" s="37"/>
      <c r="D22" s="37"/>
      <c r="E22" s="37"/>
    </row>
    <row r="23" spans="2:5" x14ac:dyDescent="0.35">
      <c r="B23" s="76"/>
      <c r="C23" s="37"/>
      <c r="D23" s="37"/>
      <c r="E23" s="37"/>
    </row>
    <row r="24" spans="2:5" x14ac:dyDescent="0.35">
      <c r="B24" s="76"/>
      <c r="C24" s="37"/>
      <c r="D24" s="37"/>
      <c r="E24" s="37"/>
    </row>
    <row r="25" spans="2:5" x14ac:dyDescent="0.35">
      <c r="B25" s="169" t="s">
        <v>55</v>
      </c>
      <c r="C25" s="169"/>
      <c r="D25" s="169"/>
      <c r="E25" s="169"/>
    </row>
    <row r="26" spans="2:5" x14ac:dyDescent="0.35">
      <c r="B26" s="170"/>
      <c r="C26" s="170"/>
      <c r="D26" s="170"/>
      <c r="E26" s="170"/>
    </row>
    <row r="27" spans="2:5" x14ac:dyDescent="0.35">
      <c r="B27" s="41" t="s">
        <v>32</v>
      </c>
      <c r="C27" s="41" t="s">
        <v>1</v>
      </c>
      <c r="D27" s="41" t="s">
        <v>6</v>
      </c>
      <c r="E27" s="41" t="s">
        <v>2</v>
      </c>
    </row>
    <row r="28" spans="2:5" x14ac:dyDescent="0.35">
      <c r="B28" s="77" t="s">
        <v>57</v>
      </c>
      <c r="C28" s="61" t="e">
        <f ca="1">I11</f>
        <v>#REF!</v>
      </c>
      <c r="D28" s="61" t="e">
        <f ca="1">L11</f>
        <v>#REF!</v>
      </c>
      <c r="E28" s="61" t="e">
        <f ca="1">O11</f>
        <v>#REF!</v>
      </c>
    </row>
    <row r="29" spans="2:5" x14ac:dyDescent="0.35">
      <c r="B29" s="77" t="s">
        <v>57</v>
      </c>
      <c r="C29" s="61" t="e">
        <f ca="1">R11</f>
        <v>#REF!</v>
      </c>
      <c r="D29" s="61" t="e">
        <f ca="1">U11</f>
        <v>#REF!</v>
      </c>
      <c r="E29" s="61" t="e">
        <f ca="1">X11</f>
        <v>#REF!</v>
      </c>
    </row>
    <row r="30" spans="2:5" x14ac:dyDescent="0.35">
      <c r="B30" s="42"/>
      <c r="C30" s="61"/>
      <c r="D30" s="61"/>
      <c r="E30" s="61"/>
    </row>
    <row r="31" spans="2:5" x14ac:dyDescent="0.35">
      <c r="B31" s="76"/>
      <c r="C31" s="37"/>
      <c r="D31" s="37"/>
      <c r="E31" s="37"/>
    </row>
    <row r="32" spans="2:5" x14ac:dyDescent="0.35">
      <c r="B32" s="76"/>
      <c r="C32" s="37"/>
      <c r="D32" s="37"/>
      <c r="E32" s="37"/>
    </row>
    <row r="33" spans="2:5" x14ac:dyDescent="0.35">
      <c r="B33" s="76"/>
      <c r="C33" s="37"/>
      <c r="D33" s="37"/>
      <c r="E33" s="37"/>
    </row>
    <row r="34" spans="2:5" x14ac:dyDescent="0.35">
      <c r="B34" s="76"/>
      <c r="C34" s="37"/>
      <c r="D34" s="37"/>
      <c r="E34" s="37"/>
    </row>
    <row r="35" spans="2:5" x14ac:dyDescent="0.35">
      <c r="B35" s="76"/>
      <c r="C35" s="37"/>
      <c r="D35" s="37"/>
      <c r="E35" s="37"/>
    </row>
    <row r="36" spans="2:5" x14ac:dyDescent="0.35">
      <c r="B36" s="169" t="s">
        <v>61</v>
      </c>
      <c r="C36" s="169"/>
      <c r="D36" s="169"/>
      <c r="E36" s="169"/>
    </row>
    <row r="37" spans="2:5" x14ac:dyDescent="0.35">
      <c r="B37" s="170"/>
      <c r="C37" s="170"/>
      <c r="D37" s="170"/>
      <c r="E37" s="170"/>
    </row>
    <row r="38" spans="2:5" x14ac:dyDescent="0.35">
      <c r="B38" s="41" t="s">
        <v>32</v>
      </c>
      <c r="C38" s="41" t="s">
        <v>12</v>
      </c>
      <c r="D38" s="41" t="s">
        <v>13</v>
      </c>
      <c r="E38" s="41" t="s">
        <v>31</v>
      </c>
    </row>
    <row r="39" spans="2:5" x14ac:dyDescent="0.35">
      <c r="B39" s="77" t="str">
        <f>K3</f>
        <v>DD-MMM-YY</v>
      </c>
      <c r="C39" s="61" t="e">
        <f ca="1">J11</f>
        <v>#REF!</v>
      </c>
      <c r="D39" s="61" t="e">
        <f ca="1">M11</f>
        <v>#REF!</v>
      </c>
      <c r="E39" s="61" t="e">
        <f ca="1">P11</f>
        <v>#REF!</v>
      </c>
    </row>
    <row r="40" spans="2:5" x14ac:dyDescent="0.35">
      <c r="B40" s="77" t="str">
        <f>S3</f>
        <v>DD-MMM-YY</v>
      </c>
      <c r="C40" s="61" t="e">
        <f ca="1">S11</f>
        <v>#REF!</v>
      </c>
      <c r="D40" s="61" t="e">
        <f ca="1">V11</f>
        <v>#REF!</v>
      </c>
      <c r="E40" s="61" t="e">
        <f ca="1">Y11</f>
        <v>#REF!</v>
      </c>
    </row>
    <row r="41" spans="2:5" x14ac:dyDescent="0.35">
      <c r="B41" s="42"/>
      <c r="C41" s="60"/>
      <c r="D41" s="60"/>
      <c r="E41" s="60"/>
    </row>
    <row r="42" spans="2:5" x14ac:dyDescent="0.35">
      <c r="B42" s="76"/>
      <c r="C42" s="79"/>
      <c r="D42" s="79"/>
      <c r="E42" s="79"/>
    </row>
    <row r="43" spans="2:5" x14ac:dyDescent="0.35">
      <c r="B43" s="76"/>
      <c r="C43" s="79"/>
      <c r="D43" s="79"/>
      <c r="E43" s="79"/>
    </row>
    <row r="44" spans="2:5" x14ac:dyDescent="0.35">
      <c r="B44" s="76"/>
      <c r="C44" s="79"/>
      <c r="D44" s="79"/>
      <c r="E44" s="79"/>
    </row>
    <row r="45" spans="2:5" x14ac:dyDescent="0.35">
      <c r="B45" s="76"/>
      <c r="C45" s="79"/>
      <c r="D45" s="79"/>
      <c r="E45" s="79"/>
    </row>
    <row r="46" spans="2:5" x14ac:dyDescent="0.35">
      <c r="B46" s="76"/>
      <c r="C46" s="79"/>
      <c r="D46" s="79"/>
      <c r="E46" s="79"/>
    </row>
    <row r="47" spans="2:5" x14ac:dyDescent="0.35">
      <c r="B47" s="76"/>
      <c r="C47" s="79"/>
      <c r="D47" s="79"/>
      <c r="E47" s="79"/>
    </row>
    <row r="48" spans="2:5" x14ac:dyDescent="0.35">
      <c r="B48" s="76"/>
      <c r="C48" s="79"/>
      <c r="D48" s="79"/>
      <c r="E48" s="79"/>
    </row>
    <row r="49" spans="2:6" x14ac:dyDescent="0.35">
      <c r="B49" s="169" t="s">
        <v>54</v>
      </c>
      <c r="C49" s="169"/>
      <c r="D49" s="169"/>
      <c r="E49" s="169"/>
    </row>
    <row r="50" spans="2:6" x14ac:dyDescent="0.35">
      <c r="B50" s="170"/>
      <c r="C50" s="170"/>
      <c r="D50" s="170"/>
      <c r="E50" s="170"/>
    </row>
    <row r="51" spans="2:6" x14ac:dyDescent="0.35">
      <c r="B51" s="41" t="s">
        <v>32</v>
      </c>
      <c r="C51" s="41" t="s">
        <v>33</v>
      </c>
      <c r="D51" s="41" t="s">
        <v>34</v>
      </c>
      <c r="E51" s="41" t="s">
        <v>58</v>
      </c>
    </row>
    <row r="52" spans="2:6" x14ac:dyDescent="0.35">
      <c r="B52" s="77" t="s">
        <v>57</v>
      </c>
      <c r="C52" s="60" t="e">
        <f ca="1">K11</f>
        <v>#REF!</v>
      </c>
      <c r="D52" s="60" t="e">
        <f ca="1">N11</f>
        <v>#REF!</v>
      </c>
      <c r="E52" s="60" t="e">
        <f ca="1">Q11</f>
        <v>#REF!</v>
      </c>
    </row>
    <row r="53" spans="2:6" x14ac:dyDescent="0.35">
      <c r="B53" s="77" t="s">
        <v>57</v>
      </c>
      <c r="C53" s="60" t="e">
        <f ca="1">T11</f>
        <v>#REF!</v>
      </c>
      <c r="D53" s="60" t="e">
        <f ca="1">W11</f>
        <v>#REF!</v>
      </c>
      <c r="E53" s="60" t="e">
        <f ca="1">Z11</f>
        <v>#REF!</v>
      </c>
    </row>
    <row r="54" spans="2:6" x14ac:dyDescent="0.35">
      <c r="B54" s="77"/>
      <c r="C54" s="60"/>
      <c r="D54" s="60"/>
      <c r="E54" s="60"/>
    </row>
    <row r="55" spans="2:6" x14ac:dyDescent="0.35">
      <c r="B55" s="42"/>
      <c r="C55" s="60"/>
      <c r="D55" s="60"/>
      <c r="E55" s="60"/>
    </row>
    <row r="56" spans="2:6" x14ac:dyDescent="0.35">
      <c r="B56" s="76"/>
      <c r="C56" s="79"/>
      <c r="D56" s="79"/>
      <c r="E56" s="79"/>
    </row>
    <row r="57" spans="2:6" x14ac:dyDescent="0.35">
      <c r="B57" s="76"/>
      <c r="C57" s="79"/>
      <c r="D57" s="79"/>
      <c r="E57" s="79"/>
    </row>
    <row r="58" spans="2:6" x14ac:dyDescent="0.35">
      <c r="B58" s="76"/>
      <c r="C58" s="79"/>
      <c r="D58" s="79"/>
      <c r="E58" s="79"/>
    </row>
    <row r="59" spans="2:6" x14ac:dyDescent="0.35">
      <c r="B59" s="76"/>
      <c r="C59" s="79"/>
      <c r="D59" s="79"/>
      <c r="E59" s="79"/>
    </row>
    <row r="60" spans="2:6" x14ac:dyDescent="0.35">
      <c r="B60" s="76"/>
      <c r="C60" s="79"/>
      <c r="D60" s="79"/>
      <c r="E60" s="79"/>
    </row>
    <row r="61" spans="2:6" x14ac:dyDescent="0.35">
      <c r="B61" s="40" t="s">
        <v>35</v>
      </c>
      <c r="C61" s="40"/>
      <c r="D61" s="40"/>
      <c r="E61" s="40"/>
    </row>
    <row r="62" spans="2:6" x14ac:dyDescent="0.35">
      <c r="B62" s="40"/>
      <c r="C62" s="40"/>
      <c r="D62" s="40"/>
      <c r="E62" s="40"/>
    </row>
    <row r="63" spans="2:6" x14ac:dyDescent="0.35">
      <c r="B63" s="41" t="s">
        <v>32</v>
      </c>
      <c r="C63" s="41" t="s">
        <v>36</v>
      </c>
      <c r="D63" s="41" t="s">
        <v>22</v>
      </c>
      <c r="E63" s="41" t="s">
        <v>30</v>
      </c>
      <c r="F63" s="41" t="s">
        <v>37</v>
      </c>
    </row>
    <row r="64" spans="2:6" x14ac:dyDescent="0.35">
      <c r="B64" s="42" t="str">
        <f t="shared" ref="B64:B70" si="2">$I$3</f>
        <v>DD-MMM-YY</v>
      </c>
      <c r="C64" s="43" t="s">
        <v>38</v>
      </c>
      <c r="D64" s="61" t="e">
        <f ca="1">INDIRECT("'" &amp; "Overall Analysis_" &amp; TEXT($B64,"d-mmm-yy")  &amp; "'!i3")</f>
        <v>#REF!</v>
      </c>
      <c r="E64" s="61" t="e">
        <f ca="1">INDIRECT("'" &amp; "Overall Analysis_" &amp; TEXT($B64,"d-mmm-yy")  &amp; "'!l3")</f>
        <v>#REF!</v>
      </c>
      <c r="F64" s="61" t="e">
        <f t="shared" ref="F64:F77" ca="1" si="3">SUM(D64:E64)</f>
        <v>#REF!</v>
      </c>
    </row>
    <row r="65" spans="2:6" x14ac:dyDescent="0.35">
      <c r="B65" s="42" t="str">
        <f t="shared" si="2"/>
        <v>DD-MMM-YY</v>
      </c>
      <c r="C65" s="43" t="s">
        <v>39</v>
      </c>
      <c r="D65" s="61" t="e">
        <f ca="1">INDIRECT("'" &amp; "Overall Analysis_" &amp; TEXT($B65,"d-mmm-yy")  &amp; "'!i4")</f>
        <v>#REF!</v>
      </c>
      <c r="E65" s="61" t="e">
        <f ca="1">INDIRECT("'" &amp; "Overall Analysis_" &amp; TEXT($B65,"d-mmm-yy")  &amp; "'!l4")</f>
        <v>#REF!</v>
      </c>
      <c r="F65" s="61" t="e">
        <f t="shared" ca="1" si="3"/>
        <v>#REF!</v>
      </c>
    </row>
    <row r="66" spans="2:6" x14ac:dyDescent="0.35">
      <c r="B66" s="42" t="str">
        <f t="shared" si="2"/>
        <v>DD-MMM-YY</v>
      </c>
      <c r="C66" s="43" t="s">
        <v>40</v>
      </c>
      <c r="D66" s="61" t="e">
        <f ca="1">INDIRECT("'" &amp; "Overall Analysis_" &amp; TEXT($B66,"d-mmm-yy")  &amp; "'!i5")</f>
        <v>#REF!</v>
      </c>
      <c r="E66" s="61" t="e">
        <f ca="1">INDIRECT("'" &amp; "Overall Analysis_" &amp; TEXT($B66,"d-mmm-yy")  &amp; "'!l5")</f>
        <v>#REF!</v>
      </c>
      <c r="F66" s="61" t="e">
        <f t="shared" ca="1" si="3"/>
        <v>#REF!</v>
      </c>
    </row>
    <row r="67" spans="2:6" x14ac:dyDescent="0.35">
      <c r="B67" s="42" t="str">
        <f t="shared" si="2"/>
        <v>DD-MMM-YY</v>
      </c>
      <c r="C67" s="43" t="s">
        <v>41</v>
      </c>
      <c r="D67" s="61" t="e">
        <f ca="1">INDIRECT("'" &amp; "Overall Analysis_" &amp; TEXT($B67,"d-mmm-yy")  &amp; "'!i6")</f>
        <v>#REF!</v>
      </c>
      <c r="E67" s="61" t="e">
        <f ca="1">INDIRECT("'" &amp; "Overall Analysis_" &amp; TEXT($B67,"d-mmm-yy")  &amp; "'!l6")</f>
        <v>#REF!</v>
      </c>
      <c r="F67" s="61" t="e">
        <f t="shared" ca="1" si="3"/>
        <v>#REF!</v>
      </c>
    </row>
    <row r="68" spans="2:6" x14ac:dyDescent="0.35">
      <c r="B68" s="42" t="str">
        <f t="shared" si="2"/>
        <v>DD-MMM-YY</v>
      </c>
      <c r="C68" s="43" t="s">
        <v>42</v>
      </c>
      <c r="D68" s="61" t="e">
        <f ca="1">INDIRECT("'" &amp; "Overall Analysis_" &amp; TEXT($B68,"d-mmm-yy")  &amp; "'!i7")</f>
        <v>#REF!</v>
      </c>
      <c r="E68" s="61" t="e">
        <f ca="1">INDIRECT("'" &amp; "Overall Analysis_" &amp; TEXT($B68,"d-mmm-yy")  &amp; "'!l7")</f>
        <v>#REF!</v>
      </c>
      <c r="F68" s="61" t="e">
        <f t="shared" ca="1" si="3"/>
        <v>#REF!</v>
      </c>
    </row>
    <row r="69" spans="2:6" x14ac:dyDescent="0.35">
      <c r="B69" s="42" t="str">
        <f t="shared" si="2"/>
        <v>DD-MMM-YY</v>
      </c>
      <c r="C69" s="43" t="s">
        <v>43</v>
      </c>
      <c r="D69" s="61" t="e">
        <f ca="1">INDIRECT("'" &amp; "Overall Analysis_" &amp; TEXT($B69,"d-mmm-yy")  &amp; "'!i8")</f>
        <v>#REF!</v>
      </c>
      <c r="E69" s="61" t="e">
        <f ca="1">INDIRECT("'" &amp; "Overall Analysis_" &amp; TEXT($B69,"d-mmm-yy")  &amp; "'!l8")</f>
        <v>#REF!</v>
      </c>
      <c r="F69" s="61" t="e">
        <f t="shared" ca="1" si="3"/>
        <v>#REF!</v>
      </c>
    </row>
    <row r="70" spans="2:6" x14ac:dyDescent="0.35">
      <c r="B70" s="42" t="str">
        <f t="shared" si="2"/>
        <v>DD-MMM-YY</v>
      </c>
      <c r="C70" s="43" t="s">
        <v>44</v>
      </c>
      <c r="D70" s="61" t="e">
        <f ca="1">INDIRECT("'" &amp; "Overall Analysis_" &amp; TEXT($B70,"d-mmm-yy")  &amp; "'!i9")</f>
        <v>#REF!</v>
      </c>
      <c r="E70" s="61" t="e">
        <f ca="1">INDIRECT("'" &amp; "Overall Analysis_" &amp; TEXT($B70,"d-mmm-yy")  &amp; "'!l9")</f>
        <v>#REF!</v>
      </c>
      <c r="F70" s="61" t="e">
        <f t="shared" ca="1" si="3"/>
        <v>#REF!</v>
      </c>
    </row>
    <row r="71" spans="2:6" x14ac:dyDescent="0.35">
      <c r="B71" s="42" t="str">
        <f t="shared" ref="B71:B77" si="4">$R$3</f>
        <v>DD-MMM-YY</v>
      </c>
      <c r="C71" s="43" t="s">
        <v>38</v>
      </c>
      <c r="D71" s="33" t="e">
        <f ca="1">INDIRECT("'" &amp; "Overall Analysis_" &amp; TEXT($B71,"d-mmm-yy")  &amp; "'!i3")</f>
        <v>#REF!</v>
      </c>
      <c r="E71" s="33" t="e">
        <f ca="1">INDIRECT("'" &amp; "Overall Analysis_" &amp; TEXT($B71,"d-mmm-yy")  &amp; "'!l3")</f>
        <v>#REF!</v>
      </c>
      <c r="F71" s="33" t="e">
        <f t="shared" ca="1" si="3"/>
        <v>#REF!</v>
      </c>
    </row>
    <row r="72" spans="2:6" x14ac:dyDescent="0.35">
      <c r="B72" s="42" t="str">
        <f t="shared" si="4"/>
        <v>DD-MMM-YY</v>
      </c>
      <c r="C72" s="43" t="s">
        <v>39</v>
      </c>
      <c r="D72" s="33" t="e">
        <f ca="1">INDIRECT("'" &amp; "Overall Analysis_" &amp; TEXT($B72,"d-mmm-yy")  &amp; "'!i4")</f>
        <v>#REF!</v>
      </c>
      <c r="E72" s="33" t="e">
        <f ca="1">INDIRECT("'" &amp; "Overall Analysis_" &amp; TEXT($B72,"d-mmm-yy")  &amp; "'!l4")</f>
        <v>#REF!</v>
      </c>
      <c r="F72" s="33" t="e">
        <f t="shared" ca="1" si="3"/>
        <v>#REF!</v>
      </c>
    </row>
    <row r="73" spans="2:6" x14ac:dyDescent="0.35">
      <c r="B73" s="42" t="str">
        <f t="shared" si="4"/>
        <v>DD-MMM-YY</v>
      </c>
      <c r="C73" s="43" t="s">
        <v>40</v>
      </c>
      <c r="D73" s="33" t="e">
        <f ca="1">INDIRECT("'" &amp; "Overall Analysis_" &amp; TEXT($B73,"d-mmm-yy")  &amp; "'!i5")</f>
        <v>#REF!</v>
      </c>
      <c r="E73" s="33" t="e">
        <f ca="1">INDIRECT("'" &amp; "Overall Analysis_" &amp; TEXT($B73,"d-mmm-yy")  &amp; "'!l5")</f>
        <v>#REF!</v>
      </c>
      <c r="F73" s="33" t="e">
        <f t="shared" ca="1" si="3"/>
        <v>#REF!</v>
      </c>
    </row>
    <row r="74" spans="2:6" x14ac:dyDescent="0.35">
      <c r="B74" s="42" t="str">
        <f t="shared" si="4"/>
        <v>DD-MMM-YY</v>
      </c>
      <c r="C74" s="43" t="s">
        <v>41</v>
      </c>
      <c r="D74" s="33" t="e">
        <f ca="1">INDIRECT("'" &amp; "Overall Analysis_" &amp; TEXT($B74,"d-mmm-yy")  &amp; "'!i6")</f>
        <v>#REF!</v>
      </c>
      <c r="E74" s="33" t="e">
        <f ca="1">INDIRECT("'" &amp; "Overall Analysis_" &amp; TEXT($B74,"d-mmm-yy")  &amp; "'!l6")</f>
        <v>#REF!</v>
      </c>
      <c r="F74" s="33" t="e">
        <f t="shared" ca="1" si="3"/>
        <v>#REF!</v>
      </c>
    </row>
    <row r="75" spans="2:6" x14ac:dyDescent="0.35">
      <c r="B75" s="42" t="str">
        <f t="shared" si="4"/>
        <v>DD-MMM-YY</v>
      </c>
      <c r="C75" s="43" t="s">
        <v>42</v>
      </c>
      <c r="D75" s="33" t="e">
        <f ca="1">INDIRECT("'" &amp; "Overall Analysis_" &amp; TEXT($B75,"d-mmm-yy")  &amp; "'!i7")</f>
        <v>#REF!</v>
      </c>
      <c r="E75" s="33" t="e">
        <f ca="1">INDIRECT("'" &amp; "Overall Analysis_" &amp; TEXT($B75,"d-mmm-yy")  &amp; "'!l7")</f>
        <v>#REF!</v>
      </c>
      <c r="F75" s="33" t="e">
        <f t="shared" ca="1" si="3"/>
        <v>#REF!</v>
      </c>
    </row>
    <row r="76" spans="2:6" x14ac:dyDescent="0.35">
      <c r="B76" s="42" t="str">
        <f t="shared" si="4"/>
        <v>DD-MMM-YY</v>
      </c>
      <c r="C76" s="43" t="s">
        <v>43</v>
      </c>
      <c r="D76" s="33" t="e">
        <f ca="1">INDIRECT("'" &amp; "Overall Analysis_" &amp; TEXT($B76,"d-mmm-yy")  &amp; "'!i8")</f>
        <v>#REF!</v>
      </c>
      <c r="E76" s="33" t="e">
        <f ca="1">INDIRECT("'" &amp; "Overall Analysis_" &amp; TEXT($B76,"d-mmm-yy")  &amp; "'!l8")</f>
        <v>#REF!</v>
      </c>
      <c r="F76" s="33" t="e">
        <f t="shared" ca="1" si="3"/>
        <v>#REF!</v>
      </c>
    </row>
    <row r="77" spans="2:6" x14ac:dyDescent="0.35">
      <c r="B77" s="42" t="str">
        <f t="shared" si="4"/>
        <v>DD-MMM-YY</v>
      </c>
      <c r="C77" s="43" t="s">
        <v>44</v>
      </c>
      <c r="D77" s="33" t="e">
        <f ca="1">INDIRECT("'" &amp; "Overall Analysis_" &amp; TEXT($B77,"d-mmm-yy")  &amp; "'!i9")</f>
        <v>#REF!</v>
      </c>
      <c r="E77" s="33" t="e">
        <f ca="1">INDIRECT("'" &amp; "Overall Analysis_" &amp; TEXT($B77,"d-mmm-yy")  &amp; "'!l9")</f>
        <v>#REF!</v>
      </c>
      <c r="F77" s="33" t="e">
        <f t="shared" ca="1" si="3"/>
        <v>#REF!</v>
      </c>
    </row>
    <row r="83" spans="2:6" x14ac:dyDescent="0.35">
      <c r="B83" s="40" t="s">
        <v>62</v>
      </c>
      <c r="C83" s="40"/>
      <c r="D83" s="40"/>
      <c r="E83" s="40"/>
    </row>
    <row r="84" spans="2:6" x14ac:dyDescent="0.35">
      <c r="B84" s="62"/>
      <c r="C84" s="62"/>
      <c r="D84" s="62"/>
      <c r="E84" s="62"/>
    </row>
    <row r="85" spans="2:6" x14ac:dyDescent="0.35">
      <c r="B85" s="41" t="s">
        <v>32</v>
      </c>
      <c r="C85" s="41" t="s">
        <v>36</v>
      </c>
      <c r="D85" s="41" t="s">
        <v>12</v>
      </c>
      <c r="E85" s="41" t="s">
        <v>13</v>
      </c>
      <c r="F85" s="41" t="s">
        <v>31</v>
      </c>
    </row>
    <row r="86" spans="2:6" x14ac:dyDescent="0.35">
      <c r="B86" s="42" t="str">
        <f t="shared" ref="B86:B92" si="5">$I$3</f>
        <v>DD-MMM-YY</v>
      </c>
      <c r="C86" s="43" t="s">
        <v>38</v>
      </c>
      <c r="D86" s="61" t="e">
        <f ca="1">INDIRECT("'" &amp; "Overall Analysis_" &amp; TEXT($B86,"d-mmm-yy")  &amp; "'!j3")</f>
        <v>#REF!</v>
      </c>
      <c r="E86" s="61" t="e">
        <f ca="1">INDIRECT("'" &amp; "Overall Analysis_" &amp; TEXT($B86,"d-mmm-yy")  &amp; "'!m3")</f>
        <v>#REF!</v>
      </c>
      <c r="F86" s="61" t="e">
        <f ca="1">SUM(D86:E86)</f>
        <v>#REF!</v>
      </c>
    </row>
    <row r="87" spans="2:6" x14ac:dyDescent="0.35">
      <c r="B87" s="42" t="str">
        <f t="shared" si="5"/>
        <v>DD-MMM-YY</v>
      </c>
      <c r="C87" s="43" t="s">
        <v>39</v>
      </c>
      <c r="D87" s="61" t="e">
        <f ca="1">INDIRECT("'" &amp; "Overall Analysis_" &amp; TEXT($B87,"d-mmm-yy")  &amp; "'!j4")</f>
        <v>#REF!</v>
      </c>
      <c r="E87" s="61" t="e">
        <f ca="1">INDIRECT("'" &amp; "Overall Analysis_" &amp; TEXT($B87,"d-mmm-yy")  &amp; "'!m4")</f>
        <v>#REF!</v>
      </c>
      <c r="F87" s="61" t="e">
        <f t="shared" ref="F87:F99" ca="1" si="6">SUM(D87:E87)</f>
        <v>#REF!</v>
      </c>
    </row>
    <row r="88" spans="2:6" x14ac:dyDescent="0.35">
      <c r="B88" s="42" t="str">
        <f t="shared" si="5"/>
        <v>DD-MMM-YY</v>
      </c>
      <c r="C88" s="43" t="s">
        <v>40</v>
      </c>
      <c r="D88" s="61" t="e">
        <f ca="1">INDIRECT("'" &amp; "Overall Analysis_" &amp; TEXT($B88,"d-mmm-yy")  &amp; "'!j5")</f>
        <v>#REF!</v>
      </c>
      <c r="E88" s="61" t="e">
        <f ca="1">INDIRECT("'" &amp; "Overall Analysis_" &amp; TEXT($B88,"d-mmm-yy")  &amp; "'!m5")</f>
        <v>#REF!</v>
      </c>
      <c r="F88" s="61" t="e">
        <f t="shared" ca="1" si="6"/>
        <v>#REF!</v>
      </c>
    </row>
    <row r="89" spans="2:6" x14ac:dyDescent="0.35">
      <c r="B89" s="42" t="str">
        <f t="shared" si="5"/>
        <v>DD-MMM-YY</v>
      </c>
      <c r="C89" s="43" t="s">
        <v>41</v>
      </c>
      <c r="D89" s="61" t="e">
        <f ca="1">INDIRECT("'" &amp; "Overall Analysis_" &amp; TEXT($B89,"d-mmm-yy")  &amp; "'!j6")</f>
        <v>#REF!</v>
      </c>
      <c r="E89" s="61" t="e">
        <f ca="1">INDIRECT("'" &amp; "Overall Analysis_" &amp; TEXT($B89,"d-mmm-yy")  &amp; "'!m6")</f>
        <v>#REF!</v>
      </c>
      <c r="F89" s="61" t="e">
        <f t="shared" ca="1" si="6"/>
        <v>#REF!</v>
      </c>
    </row>
    <row r="90" spans="2:6" x14ac:dyDescent="0.35">
      <c r="B90" s="42" t="str">
        <f t="shared" si="5"/>
        <v>DD-MMM-YY</v>
      </c>
      <c r="C90" s="43" t="s">
        <v>42</v>
      </c>
      <c r="D90" s="61" t="e">
        <f ca="1">INDIRECT("'" &amp; "Overall Analysis_" &amp; TEXT($B90,"d-mmm-yy")  &amp; "'!j7")</f>
        <v>#REF!</v>
      </c>
      <c r="E90" s="61" t="e">
        <f ca="1">INDIRECT("'" &amp; "Overall Analysis_" &amp; TEXT($B90,"d-mmm-yy")  &amp; "'!m7")</f>
        <v>#REF!</v>
      </c>
      <c r="F90" s="61" t="e">
        <f t="shared" ca="1" si="6"/>
        <v>#REF!</v>
      </c>
    </row>
    <row r="91" spans="2:6" x14ac:dyDescent="0.35">
      <c r="B91" s="42" t="str">
        <f t="shared" si="5"/>
        <v>DD-MMM-YY</v>
      </c>
      <c r="C91" s="43" t="s">
        <v>43</v>
      </c>
      <c r="D91" s="61" t="e">
        <f ca="1">INDIRECT("'" &amp; "Overall Analysis_" &amp; TEXT($B91,"d-mmm-yy")  &amp; "'!j8")</f>
        <v>#REF!</v>
      </c>
      <c r="E91" s="61" t="e">
        <f ca="1">INDIRECT("'" &amp; "Overall Analysis_" &amp; TEXT($B91,"d-mmm-yy")  &amp; "'!m8")</f>
        <v>#REF!</v>
      </c>
      <c r="F91" s="61" t="e">
        <f t="shared" ca="1" si="6"/>
        <v>#REF!</v>
      </c>
    </row>
    <row r="92" spans="2:6" x14ac:dyDescent="0.35">
      <c r="B92" s="42" t="str">
        <f t="shared" si="5"/>
        <v>DD-MMM-YY</v>
      </c>
      <c r="C92" s="43" t="s">
        <v>44</v>
      </c>
      <c r="D92" s="61" t="e">
        <f ca="1">INDIRECT("'" &amp; "Overall Analysis_" &amp; TEXT($B92,"d-mmm-yy")  &amp; "'!j9")</f>
        <v>#REF!</v>
      </c>
      <c r="E92" s="61" t="e">
        <f ca="1">INDIRECT("'" &amp; "Overall Analysis_" &amp; TEXT($B92,"d-mmm-yy")  &amp; "'!m9")</f>
        <v>#REF!</v>
      </c>
      <c r="F92" s="61" t="e">
        <f t="shared" ca="1" si="6"/>
        <v>#REF!</v>
      </c>
    </row>
    <row r="93" spans="2:6" x14ac:dyDescent="0.35">
      <c r="B93" s="42" t="str">
        <f t="shared" ref="B93:B99" si="7">$R$3</f>
        <v>DD-MMM-YY</v>
      </c>
      <c r="C93" s="43" t="s">
        <v>38</v>
      </c>
      <c r="D93" s="61" t="e">
        <f ca="1">INDIRECT("'" &amp; "Overall Analysis_" &amp; TEXT($B93,"d-mmm-yy")  &amp; "'!j3")</f>
        <v>#REF!</v>
      </c>
      <c r="E93" s="61" t="e">
        <f ca="1">INDIRECT("'" &amp; "Overall Analysis_" &amp; TEXT($B93,"d-mmm-yy")  &amp; "'!m3")</f>
        <v>#REF!</v>
      </c>
      <c r="F93" s="61" t="e">
        <f t="shared" ca="1" si="6"/>
        <v>#REF!</v>
      </c>
    </row>
    <row r="94" spans="2:6" x14ac:dyDescent="0.35">
      <c r="B94" s="42" t="str">
        <f t="shared" si="7"/>
        <v>DD-MMM-YY</v>
      </c>
      <c r="C94" s="43" t="s">
        <v>39</v>
      </c>
      <c r="D94" s="61" t="e">
        <f ca="1">INDIRECT("'" &amp; "Overall Analysis_" &amp; TEXT($B94,"d-mmm-yy")  &amp; "'!j4")</f>
        <v>#REF!</v>
      </c>
      <c r="E94" s="61" t="e">
        <f ca="1">INDIRECT("'" &amp; "Overall Analysis_" &amp; TEXT($B94,"d-mmm-yy")  &amp; "'!m4")</f>
        <v>#REF!</v>
      </c>
      <c r="F94" s="61" t="e">
        <f t="shared" ca="1" si="6"/>
        <v>#REF!</v>
      </c>
    </row>
    <row r="95" spans="2:6" x14ac:dyDescent="0.35">
      <c r="B95" s="42" t="str">
        <f t="shared" si="7"/>
        <v>DD-MMM-YY</v>
      </c>
      <c r="C95" s="43" t="s">
        <v>40</v>
      </c>
      <c r="D95" s="61" t="e">
        <f ca="1">INDIRECT("'" &amp; "Overall Analysis_" &amp; TEXT($B95,"d-mmm-yy")  &amp; "'!j5")</f>
        <v>#REF!</v>
      </c>
      <c r="E95" s="61" t="e">
        <f ca="1">INDIRECT("'" &amp; "Overall Analysis_" &amp; TEXT($B95,"d-mmm-yy")  &amp; "'!m5")</f>
        <v>#REF!</v>
      </c>
      <c r="F95" s="61" t="e">
        <f t="shared" ca="1" si="6"/>
        <v>#REF!</v>
      </c>
    </row>
    <row r="96" spans="2:6" x14ac:dyDescent="0.35">
      <c r="B96" s="42" t="str">
        <f t="shared" si="7"/>
        <v>DD-MMM-YY</v>
      </c>
      <c r="C96" s="43" t="s">
        <v>41</v>
      </c>
      <c r="D96" s="61" t="e">
        <f ca="1">INDIRECT("'" &amp; "Overall Analysis_" &amp; TEXT($B96,"d-mmm-yy")  &amp; "'!j6")</f>
        <v>#REF!</v>
      </c>
      <c r="E96" s="61" t="e">
        <f ca="1">INDIRECT("'" &amp; "Overall Analysis_" &amp; TEXT($B96,"d-mmm-yy")  &amp; "'!m6")</f>
        <v>#REF!</v>
      </c>
      <c r="F96" s="61" t="e">
        <f t="shared" ca="1" si="6"/>
        <v>#REF!</v>
      </c>
    </row>
    <row r="97" spans="2:6" x14ac:dyDescent="0.35">
      <c r="B97" s="42" t="str">
        <f t="shared" si="7"/>
        <v>DD-MMM-YY</v>
      </c>
      <c r="C97" s="43" t="s">
        <v>42</v>
      </c>
      <c r="D97" s="61" t="e">
        <f ca="1">INDIRECT("'" &amp; "Overall Analysis_" &amp; TEXT($B97,"d-mmm-yy")  &amp; "'!j7")</f>
        <v>#REF!</v>
      </c>
      <c r="E97" s="61" t="e">
        <f ca="1">INDIRECT("'" &amp; "Overall Analysis_" &amp; TEXT($B97,"d-mmm-yy")  &amp; "'!m7")</f>
        <v>#REF!</v>
      </c>
      <c r="F97" s="61" t="e">
        <f t="shared" ca="1" si="6"/>
        <v>#REF!</v>
      </c>
    </row>
    <row r="98" spans="2:6" x14ac:dyDescent="0.35">
      <c r="B98" s="42" t="str">
        <f t="shared" si="7"/>
        <v>DD-MMM-YY</v>
      </c>
      <c r="C98" s="43" t="s">
        <v>43</v>
      </c>
      <c r="D98" s="61" t="e">
        <f ca="1">INDIRECT("'" &amp; "Overall Analysis_" &amp; TEXT($B98,"d-mmm-yy")  &amp; "'!j8")</f>
        <v>#REF!</v>
      </c>
      <c r="E98" s="61" t="e">
        <f ca="1">INDIRECT("'" &amp; "Overall Analysis_" &amp; TEXT($B98,"d-mmm-yy")  &amp; "'!m8")</f>
        <v>#REF!</v>
      </c>
      <c r="F98" s="61" t="e">
        <f t="shared" ca="1" si="6"/>
        <v>#REF!</v>
      </c>
    </row>
    <row r="99" spans="2:6" x14ac:dyDescent="0.35">
      <c r="B99" s="42" t="str">
        <f t="shared" si="7"/>
        <v>DD-MMM-YY</v>
      </c>
      <c r="C99" s="43" t="s">
        <v>44</v>
      </c>
      <c r="D99" s="61" t="e">
        <f ca="1">INDIRECT("'" &amp; "Overall Analysis_" &amp; TEXT($B99,"d-mmm-yy")  &amp; "'!j9")</f>
        <v>#REF!</v>
      </c>
      <c r="E99" s="61" t="e">
        <f ca="1">INDIRECT("'" &amp; "Overall Analysis_" &amp; TEXT($B99,"d-mmm-yy")  &amp; "'!m9")</f>
        <v>#REF!</v>
      </c>
      <c r="F99" s="61" t="e">
        <f t="shared" ca="1" si="6"/>
        <v>#REF!</v>
      </c>
    </row>
  </sheetData>
  <sortState xmlns:xlrd2="http://schemas.microsoft.com/office/spreadsheetml/2017/richdata2" ref="B86:E99">
    <sortCondition ref="B86:B99"/>
  </sortState>
  <mergeCells count="7">
    <mergeCell ref="A1:Q1"/>
    <mergeCell ref="A3:H3"/>
    <mergeCell ref="B49:E50"/>
    <mergeCell ref="E4:E11"/>
    <mergeCell ref="B36:E37"/>
    <mergeCell ref="B15:E16"/>
    <mergeCell ref="B25:E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1"/>
  <sheetViews>
    <sheetView zoomScale="77" zoomScaleNormal="77" workbookViewId="0">
      <selection activeCell="C4" sqref="C4"/>
    </sheetView>
  </sheetViews>
  <sheetFormatPr defaultRowHeight="15.5" x14ac:dyDescent="0.35"/>
  <cols>
    <col min="1" max="1" width="6.26953125" style="3" bestFit="1" customWidth="1"/>
    <col min="2" max="2" width="78.81640625" style="2" customWidth="1"/>
    <col min="3" max="3" width="8.1796875" style="3" customWidth="1"/>
    <col min="4" max="5" width="15" style="3" bestFit="1" customWidth="1"/>
    <col min="6" max="6" width="8.54296875" style="3" bestFit="1" customWidth="1"/>
  </cols>
  <sheetData>
    <row r="1" spans="1:6" x14ac:dyDescent="0.35">
      <c r="A1" s="107" t="s">
        <v>132</v>
      </c>
      <c r="B1" s="108" t="s">
        <v>136</v>
      </c>
      <c r="C1" s="107" t="s">
        <v>4</v>
      </c>
      <c r="D1" s="109" t="s">
        <v>133</v>
      </c>
      <c r="E1" s="109" t="s">
        <v>133</v>
      </c>
      <c r="F1" s="109" t="s">
        <v>134</v>
      </c>
    </row>
    <row r="2" spans="1:6" x14ac:dyDescent="0.35">
      <c r="A2" s="107"/>
      <c r="B2" s="108"/>
      <c r="C2" s="107"/>
      <c r="D2" s="110" t="s">
        <v>57</v>
      </c>
      <c r="E2" s="110" t="s">
        <v>57</v>
      </c>
      <c r="F2" s="111" t="s">
        <v>135</v>
      </c>
    </row>
    <row r="3" spans="1:6" ht="46.5" x14ac:dyDescent="0.35">
      <c r="A3" s="9">
        <v>1</v>
      </c>
      <c r="B3" s="97" t="s">
        <v>67</v>
      </c>
      <c r="C3" s="96" t="s">
        <v>6</v>
      </c>
      <c r="D3" s="112" t="e">
        <f ca="1">INDIRECT("'" &amp; "Master Sheet_" &amp; TEXT($D$2,"d-mmm-yy")  &amp; "'!F3")</f>
        <v>#REF!</v>
      </c>
      <c r="E3" s="112" t="e">
        <f ca="1">INDIRECT("'" &amp; "Master Sheet_" &amp; TEXT($D$2,"d-mmm-yy")  &amp; "'!F3")</f>
        <v>#REF!</v>
      </c>
      <c r="F3" s="34" t="e">
        <f ca="1">(E3-D3)</f>
        <v>#REF!</v>
      </c>
    </row>
    <row r="4" spans="1:6" ht="46.5" x14ac:dyDescent="0.35">
      <c r="A4" s="9">
        <v>2</v>
      </c>
      <c r="B4" s="1" t="s">
        <v>68</v>
      </c>
      <c r="C4" s="9" t="s">
        <v>1</v>
      </c>
      <c r="D4" s="112" t="e">
        <f ca="1">INDIRECT("'" &amp; "Master Sheet_" &amp; TEXT($D$2,"d-mmm-yy")  &amp; "'!F4")</f>
        <v>#REF!</v>
      </c>
      <c r="E4" s="112" t="e">
        <f ca="1">INDIRECT("'" &amp; "Master Sheet_" &amp; TEXT($D$2,"d-mmm-yy")  &amp; "'!F4")</f>
        <v>#REF!</v>
      </c>
      <c r="F4" s="34" t="e">
        <f t="shared" ref="F4:F8" ca="1" si="0">(E4-D4)</f>
        <v>#REF!</v>
      </c>
    </row>
    <row r="5" spans="1:6" ht="46.5" x14ac:dyDescent="0.35">
      <c r="A5" s="9">
        <v>3</v>
      </c>
      <c r="B5" s="1" t="s">
        <v>69</v>
      </c>
      <c r="C5" s="9" t="s">
        <v>1</v>
      </c>
      <c r="D5" s="112" t="e">
        <f ca="1">INDIRECT("'" &amp; "Master Sheet_" &amp; TEXT($D$2,"d-mmm-yy")  &amp; "'!F5")</f>
        <v>#REF!</v>
      </c>
      <c r="E5" s="112" t="e">
        <f ca="1">INDIRECT("'" &amp; "Master Sheet_" &amp; TEXT($D$2,"d-mmm-yy")  &amp; "'!F5")</f>
        <v>#REF!</v>
      </c>
      <c r="F5" s="34" t="e">
        <f t="shared" ca="1" si="0"/>
        <v>#REF!</v>
      </c>
    </row>
    <row r="6" spans="1:6" ht="31" x14ac:dyDescent="0.35">
      <c r="A6" s="9">
        <v>4</v>
      </c>
      <c r="B6" s="97" t="s">
        <v>70</v>
      </c>
      <c r="C6" s="96" t="s">
        <v>6</v>
      </c>
      <c r="D6" s="112" t="e">
        <f ca="1">INDIRECT("'" &amp; "Master Sheet_" &amp; TEXT($D$2,"d-mmm-yy")  &amp; "'!F6")</f>
        <v>#REF!</v>
      </c>
      <c r="E6" s="112" t="e">
        <f ca="1">INDIRECT("'" &amp; "Master Sheet_" &amp; TEXT($D$2,"d-mmm-yy")  &amp; "'!F6")</f>
        <v>#REF!</v>
      </c>
      <c r="F6" s="34" t="e">
        <f t="shared" ca="1" si="0"/>
        <v>#REF!</v>
      </c>
    </row>
    <row r="7" spans="1:6" ht="31" x14ac:dyDescent="0.35">
      <c r="A7" s="9">
        <v>5</v>
      </c>
      <c r="B7" s="1" t="s">
        <v>71</v>
      </c>
      <c r="C7" s="9" t="s">
        <v>1</v>
      </c>
      <c r="D7" s="112" t="e">
        <f ca="1">INDIRECT("'" &amp; "Master Sheet_" &amp; TEXT($D$2,"d-mmm-yy")  &amp; "'!F7")</f>
        <v>#REF!</v>
      </c>
      <c r="E7" s="112" t="e">
        <f ca="1">INDIRECT("'" &amp; "Master Sheet_" &amp; TEXT($D$2,"d-mmm-yy")  &amp; "'!F7")</f>
        <v>#REF!</v>
      </c>
      <c r="F7" s="34" t="e">
        <f t="shared" ca="1" si="0"/>
        <v>#REF!</v>
      </c>
    </row>
    <row r="8" spans="1:6" ht="155" x14ac:dyDescent="0.35">
      <c r="A8" s="5">
        <v>6</v>
      </c>
      <c r="B8" s="95" t="s">
        <v>72</v>
      </c>
      <c r="C8" s="9" t="s">
        <v>1</v>
      </c>
      <c r="D8" s="112" t="e">
        <f ca="1">INDIRECT("'" &amp; "Master Sheet_" &amp; TEXT($D$2,"d-mmm-yy")  &amp; "'!F8")</f>
        <v>#REF!</v>
      </c>
      <c r="E8" s="112" t="e">
        <f ca="1">INDIRECT("'" &amp; "Master Sheet_" &amp; TEXT($D$2,"d-mmm-yy")  &amp; "'!F8")</f>
        <v>#REF!</v>
      </c>
      <c r="F8" s="34" t="e">
        <f t="shared" ca="1" si="0"/>
        <v>#REF!</v>
      </c>
    </row>
    <row r="9" spans="1:6" x14ac:dyDescent="0.35">
      <c r="A9" s="28"/>
      <c r="B9" s="29"/>
      <c r="C9" s="28"/>
      <c r="D9" s="28"/>
      <c r="E9" s="28"/>
      <c r="F9" s="28"/>
    </row>
    <row r="10" spans="1:6" x14ac:dyDescent="0.35">
      <c r="A10" s="107" t="s">
        <v>132</v>
      </c>
      <c r="B10" s="108" t="s">
        <v>137</v>
      </c>
      <c r="C10" s="107" t="s">
        <v>4</v>
      </c>
      <c r="D10" s="109" t="s">
        <v>133</v>
      </c>
      <c r="E10" s="109" t="s">
        <v>133</v>
      </c>
      <c r="F10" s="109" t="s">
        <v>134</v>
      </c>
    </row>
    <row r="11" spans="1:6" x14ac:dyDescent="0.35">
      <c r="A11" s="9">
        <f>A8+1</f>
        <v>7</v>
      </c>
      <c r="B11" s="1" t="s">
        <v>76</v>
      </c>
      <c r="C11" s="9" t="s">
        <v>1</v>
      </c>
      <c r="D11" s="112" t="e">
        <f ca="1">INDIRECT("'" &amp; "Master Sheet_" &amp; TEXT($D$2,"d-mmm-yy")  &amp; "'!F11")</f>
        <v>#REF!</v>
      </c>
      <c r="E11" s="112" t="e">
        <f ca="1">INDIRECT("'" &amp; "Master Sheet_" &amp; TEXT($E$2,"d-mmm-yy")  &amp; "'!F11")</f>
        <v>#REF!</v>
      </c>
      <c r="F11" s="34" t="e">
        <f t="shared" ref="F11:F21" ca="1" si="1">(E11-D11)</f>
        <v>#REF!</v>
      </c>
    </row>
    <row r="12" spans="1:6" ht="46.5" x14ac:dyDescent="0.35">
      <c r="A12" s="9">
        <f>A11+1</f>
        <v>8</v>
      </c>
      <c r="B12" s="1" t="s">
        <v>77</v>
      </c>
      <c r="C12" s="9" t="s">
        <v>1</v>
      </c>
      <c r="D12" s="112" t="e">
        <f ca="1">INDIRECT("'" &amp; "Master Sheet_" &amp; TEXT($D$2,"d-mmm-yy")  &amp; "'!F12")</f>
        <v>#REF!</v>
      </c>
      <c r="E12" s="112" t="e">
        <f ca="1">INDIRECT("'" &amp; "Master Sheet_" &amp; TEXT($E$2,"d-mmm-yy")  &amp; "'!F12")</f>
        <v>#REF!</v>
      </c>
      <c r="F12" s="34" t="e">
        <f t="shared" ca="1" si="1"/>
        <v>#REF!</v>
      </c>
    </row>
    <row r="13" spans="1:6" ht="31" x14ac:dyDescent="0.35">
      <c r="A13" s="9">
        <f t="shared" ref="A13:A21" si="2">A12+1</f>
        <v>9</v>
      </c>
      <c r="B13" s="1" t="s">
        <v>78</v>
      </c>
      <c r="C13" s="9" t="s">
        <v>1</v>
      </c>
      <c r="D13" s="112" t="e">
        <f ca="1">INDIRECT("'" &amp; "Master Sheet_" &amp; TEXT($D$2,"d-mmm-yy")  &amp; "'!F13")</f>
        <v>#REF!</v>
      </c>
      <c r="E13" s="112" t="e">
        <f ca="1">INDIRECT("'" &amp; "Master Sheet_" &amp; TEXT($E$2,"d-mmm-yy")  &amp; "'!F13")</f>
        <v>#REF!</v>
      </c>
      <c r="F13" s="34" t="e">
        <f t="shared" ca="1" si="1"/>
        <v>#REF!</v>
      </c>
    </row>
    <row r="14" spans="1:6" ht="46.5" x14ac:dyDescent="0.35">
      <c r="A14" s="9">
        <f t="shared" si="2"/>
        <v>10</v>
      </c>
      <c r="B14" s="97" t="s">
        <v>79</v>
      </c>
      <c r="C14" s="96" t="s">
        <v>6</v>
      </c>
      <c r="D14" s="112" t="e">
        <f ca="1">INDIRECT("'" &amp; "Master Sheet_" &amp; TEXT($D$2,"d-mmm-yy")  &amp; "'!F14")</f>
        <v>#REF!</v>
      </c>
      <c r="E14" s="112" t="e">
        <f ca="1">INDIRECT("'" &amp; "Master Sheet_" &amp; TEXT($E$2,"d-mmm-yy")  &amp; "'!F14")</f>
        <v>#REF!</v>
      </c>
      <c r="F14" s="34" t="e">
        <f t="shared" ca="1" si="1"/>
        <v>#REF!</v>
      </c>
    </row>
    <row r="15" spans="1:6" x14ac:dyDescent="0.35">
      <c r="A15" s="9">
        <f t="shared" si="2"/>
        <v>11</v>
      </c>
      <c r="B15" s="1" t="s">
        <v>80</v>
      </c>
      <c r="C15" s="9" t="s">
        <v>1</v>
      </c>
      <c r="D15" s="112" t="e">
        <f ca="1">INDIRECT("'" &amp; "Master Sheet_" &amp; TEXT($D$2,"d-mmm-yy")  &amp; "'!F15")</f>
        <v>#REF!</v>
      </c>
      <c r="E15" s="112" t="e">
        <f ca="1">INDIRECT("'" &amp; "Master Sheet_" &amp; TEXT($E$2,"d-mmm-yy")  &amp; "'!F15")</f>
        <v>#REF!</v>
      </c>
      <c r="F15" s="34" t="e">
        <f t="shared" ca="1" si="1"/>
        <v>#REF!</v>
      </c>
    </row>
    <row r="16" spans="1:6" ht="31" x14ac:dyDescent="0.35">
      <c r="A16" s="9">
        <f t="shared" si="2"/>
        <v>12</v>
      </c>
      <c r="B16" s="1" t="s">
        <v>81</v>
      </c>
      <c r="C16" s="9" t="s">
        <v>1</v>
      </c>
      <c r="D16" s="112" t="e">
        <f ca="1">INDIRECT("'" &amp; "Master Sheet_" &amp; TEXT($D$2,"d-mmm-yy")  &amp; "'!F16")</f>
        <v>#REF!</v>
      </c>
      <c r="E16" s="112" t="e">
        <f ca="1">INDIRECT("'" &amp; "Master Sheet_" &amp; TEXT($E$2,"d-mmm-yy")  &amp; "'!F16")</f>
        <v>#REF!</v>
      </c>
      <c r="F16" s="34" t="e">
        <f t="shared" ca="1" si="1"/>
        <v>#REF!</v>
      </c>
    </row>
    <row r="17" spans="1:6" ht="31" x14ac:dyDescent="0.35">
      <c r="A17" s="9">
        <f t="shared" si="2"/>
        <v>13</v>
      </c>
      <c r="B17" s="97" t="s">
        <v>82</v>
      </c>
      <c r="C17" s="96" t="s">
        <v>6</v>
      </c>
      <c r="D17" s="112" t="e">
        <f ca="1">INDIRECT("'" &amp; "Master Sheet_" &amp; TEXT($D$2,"d-mmm-yy")  &amp; "'!F17")</f>
        <v>#REF!</v>
      </c>
      <c r="E17" s="112" t="e">
        <f ca="1">INDIRECT("'" &amp; "Master Sheet_" &amp; TEXT($E$2,"d-mmm-yy")  &amp; "'!F17")</f>
        <v>#REF!</v>
      </c>
      <c r="F17" s="34" t="e">
        <f t="shared" ca="1" si="1"/>
        <v>#REF!</v>
      </c>
    </row>
    <row r="18" spans="1:6" ht="46.5" x14ac:dyDescent="0.35">
      <c r="A18" s="9">
        <f t="shared" si="2"/>
        <v>14</v>
      </c>
      <c r="B18" s="97" t="s">
        <v>83</v>
      </c>
      <c r="C18" s="96" t="s">
        <v>6</v>
      </c>
      <c r="D18" s="112" t="e">
        <f ca="1">INDIRECT("'" &amp; "Master Sheet_" &amp; TEXT($D$2,"d-mmm-yy")  &amp; "'!F18")</f>
        <v>#REF!</v>
      </c>
      <c r="E18" s="112" t="e">
        <f ca="1">INDIRECT("'" &amp; "Master Sheet_" &amp; TEXT($E$2,"d-mmm-yy")  &amp; "'!F18")</f>
        <v>#REF!</v>
      </c>
      <c r="F18" s="34" t="e">
        <f t="shared" ca="1" si="1"/>
        <v>#REF!</v>
      </c>
    </row>
    <row r="19" spans="1:6" ht="31" x14ac:dyDescent="0.35">
      <c r="A19" s="9">
        <f t="shared" si="2"/>
        <v>15</v>
      </c>
      <c r="B19" s="97" t="s">
        <v>84</v>
      </c>
      <c r="C19" s="96" t="s">
        <v>6</v>
      </c>
      <c r="D19" s="112" t="e">
        <f ca="1">INDIRECT("'" &amp; "Master Sheet_" &amp; TEXT($D$2,"d-mmm-yy")  &amp; "'!F19")</f>
        <v>#REF!</v>
      </c>
      <c r="E19" s="112" t="e">
        <f ca="1">INDIRECT("'" &amp; "Master Sheet_" &amp; TEXT($E$2,"d-mmm-yy")  &amp; "'!F19")</f>
        <v>#REF!</v>
      </c>
      <c r="F19" s="34" t="e">
        <f t="shared" ca="1" si="1"/>
        <v>#REF!</v>
      </c>
    </row>
    <row r="20" spans="1:6" x14ac:dyDescent="0.35">
      <c r="A20" s="9">
        <f t="shared" si="2"/>
        <v>16</v>
      </c>
      <c r="B20" s="1" t="s">
        <v>85</v>
      </c>
      <c r="C20" s="9" t="s">
        <v>1</v>
      </c>
      <c r="D20" s="112" t="e">
        <f ca="1">INDIRECT("'" &amp; "Master Sheet_" &amp; TEXT($D$2,"d-mmm-yy")  &amp; "'!F20")</f>
        <v>#REF!</v>
      </c>
      <c r="E20" s="112" t="e">
        <f ca="1">INDIRECT("'" &amp; "Master Sheet_" &amp; TEXT($E$2,"d-mmm-yy")  &amp; "'!F20")</f>
        <v>#REF!</v>
      </c>
      <c r="F20" s="34" t="e">
        <f t="shared" ca="1" si="1"/>
        <v>#REF!</v>
      </c>
    </row>
    <row r="21" spans="1:6" ht="31" x14ac:dyDescent="0.35">
      <c r="A21" s="9">
        <f t="shared" si="2"/>
        <v>17</v>
      </c>
      <c r="B21" s="1" t="s">
        <v>86</v>
      </c>
      <c r="C21" s="9" t="s">
        <v>1</v>
      </c>
      <c r="D21" s="112" t="e">
        <f ca="1">INDIRECT("'" &amp; "Master Sheet_" &amp; TEXT($D$2,"d-mmm-yy")  &amp; "'!F21")</f>
        <v>#REF!</v>
      </c>
      <c r="E21" s="112" t="e">
        <f ca="1">INDIRECT("'" &amp; "Master Sheet_" &amp; TEXT($E$2,"d-mmm-yy")  &amp; "'!F21")</f>
        <v>#REF!</v>
      </c>
      <c r="F21" s="34" t="e">
        <f t="shared" ca="1" si="1"/>
        <v>#REF!</v>
      </c>
    </row>
    <row r="22" spans="1:6" x14ac:dyDescent="0.35">
      <c r="A22" s="29"/>
      <c r="B22" s="29"/>
      <c r="C22" s="30"/>
      <c r="D22" s="28"/>
      <c r="E22" s="28"/>
      <c r="F22" s="28"/>
    </row>
    <row r="23" spans="1:6" x14ac:dyDescent="0.35">
      <c r="A23" s="107" t="s">
        <v>132</v>
      </c>
      <c r="B23" s="108" t="s">
        <v>138</v>
      </c>
      <c r="C23" s="107" t="s">
        <v>4</v>
      </c>
      <c r="D23" s="109" t="s">
        <v>133</v>
      </c>
      <c r="E23" s="109" t="s">
        <v>133</v>
      </c>
      <c r="F23" s="109" t="s">
        <v>134</v>
      </c>
    </row>
    <row r="24" spans="1:6" ht="31" x14ac:dyDescent="0.35">
      <c r="A24" s="9">
        <f>A21+1</f>
        <v>18</v>
      </c>
      <c r="B24" s="1" t="s">
        <v>87</v>
      </c>
      <c r="C24" s="9" t="s">
        <v>1</v>
      </c>
      <c r="D24" s="112" t="e">
        <f ca="1">INDIRECT("'" &amp; "Master Sheet_" &amp; TEXT($D$2,"d-mmm-yy")  &amp; "'!F24")</f>
        <v>#REF!</v>
      </c>
      <c r="E24" s="112" t="e">
        <f ca="1">INDIRECT("'" &amp; "Master Sheet_" &amp; TEXT($E$2,"d-mmm-yy")  &amp; "'!F24")</f>
        <v>#REF!</v>
      </c>
      <c r="F24" s="34" t="e">
        <f t="shared" ref="F24:F32" ca="1" si="3">(E24-D24)</f>
        <v>#REF!</v>
      </c>
    </row>
    <row r="25" spans="1:6" ht="46.5" x14ac:dyDescent="0.35">
      <c r="A25" s="9">
        <f>A24+1</f>
        <v>19</v>
      </c>
      <c r="B25" s="97" t="s">
        <v>88</v>
      </c>
      <c r="C25" s="96" t="s">
        <v>6</v>
      </c>
      <c r="D25" s="112" t="e">
        <f ca="1">INDIRECT("'" &amp; "Master Sheet_" &amp; TEXT($D$2,"d-mmm-yy")  &amp; "'!F25")</f>
        <v>#REF!</v>
      </c>
      <c r="E25" s="112" t="e">
        <f ca="1">INDIRECT("'" &amp; "Master Sheet_" &amp; TEXT($E$2,"d-mmm-yy")  &amp; "'!F25")</f>
        <v>#REF!</v>
      </c>
      <c r="F25" s="34" t="e">
        <f t="shared" ca="1" si="3"/>
        <v>#REF!</v>
      </c>
    </row>
    <row r="26" spans="1:6" ht="46.5" x14ac:dyDescent="0.35">
      <c r="A26" s="9">
        <f t="shared" ref="A26:A32" si="4">A25+1</f>
        <v>20</v>
      </c>
      <c r="B26" s="1" t="s">
        <v>89</v>
      </c>
      <c r="C26" s="9" t="s">
        <v>1</v>
      </c>
      <c r="D26" s="112" t="e">
        <f ca="1">INDIRECT("'" &amp; "Master Sheet_" &amp; TEXT($D$2,"d-mmm-yy")  &amp; "'!F26")</f>
        <v>#REF!</v>
      </c>
      <c r="E26" s="112" t="e">
        <f ca="1">INDIRECT("'" &amp; "Master Sheet_" &amp; TEXT($E$2,"d-mmm-yy")  &amp; "'!F26")</f>
        <v>#REF!</v>
      </c>
      <c r="F26" s="34" t="e">
        <f t="shared" ca="1" si="3"/>
        <v>#REF!</v>
      </c>
    </row>
    <row r="27" spans="1:6" ht="31" x14ac:dyDescent="0.35">
      <c r="A27" s="9">
        <f t="shared" si="4"/>
        <v>21</v>
      </c>
      <c r="B27" s="1" t="s">
        <v>90</v>
      </c>
      <c r="C27" s="9" t="s">
        <v>1</v>
      </c>
      <c r="D27" s="112" t="e">
        <f ca="1">INDIRECT("'" &amp; "Master Sheet_" &amp; TEXT($D$2,"d-mmm-yy")  &amp; "'!F27")</f>
        <v>#REF!</v>
      </c>
      <c r="E27" s="112" t="e">
        <f ca="1">INDIRECT("'" &amp; "Master Sheet_" &amp; TEXT($E$2,"d-mmm-yy")  &amp; "'!F27")</f>
        <v>#REF!</v>
      </c>
      <c r="F27" s="34" t="e">
        <f t="shared" ca="1" si="3"/>
        <v>#REF!</v>
      </c>
    </row>
    <row r="28" spans="1:6" ht="46.5" x14ac:dyDescent="0.35">
      <c r="A28" s="9">
        <f t="shared" si="4"/>
        <v>22</v>
      </c>
      <c r="B28" s="1" t="s">
        <v>91</v>
      </c>
      <c r="C28" s="9" t="s">
        <v>1</v>
      </c>
      <c r="D28" s="112" t="e">
        <f ca="1">INDIRECT("'" &amp; "Master Sheet_" &amp; TEXT($D$2,"d-mmm-yy")  &amp; "'!F28")</f>
        <v>#REF!</v>
      </c>
      <c r="E28" s="112" t="e">
        <f ca="1">INDIRECT("'" &amp; "Master Sheet_" &amp; TEXT($E$2,"d-mmm-yy")  &amp; "'!F28")</f>
        <v>#REF!</v>
      </c>
      <c r="F28" s="34" t="e">
        <f t="shared" ca="1" si="3"/>
        <v>#REF!</v>
      </c>
    </row>
    <row r="29" spans="1:6" ht="46.5" x14ac:dyDescent="0.35">
      <c r="A29" s="9">
        <f t="shared" si="4"/>
        <v>23</v>
      </c>
      <c r="B29" s="97" t="s">
        <v>92</v>
      </c>
      <c r="C29" s="96" t="s">
        <v>6</v>
      </c>
      <c r="D29" s="112" t="e">
        <f ca="1">INDIRECT("'" &amp; "Master Sheet_" &amp; TEXT($D$2,"d-mmm-yy")  &amp; "'!F29")</f>
        <v>#REF!</v>
      </c>
      <c r="E29" s="112" t="e">
        <f ca="1">INDIRECT("'" &amp; "Master Sheet_" &amp; TEXT($E$2,"d-mmm-yy")  &amp; "'!F29")</f>
        <v>#REF!</v>
      </c>
      <c r="F29" s="34" t="e">
        <f t="shared" ca="1" si="3"/>
        <v>#REF!</v>
      </c>
    </row>
    <row r="30" spans="1:6" ht="31" x14ac:dyDescent="0.35">
      <c r="A30" s="9">
        <f t="shared" si="4"/>
        <v>24</v>
      </c>
      <c r="B30" s="97" t="s">
        <v>93</v>
      </c>
      <c r="C30" s="96" t="s">
        <v>6</v>
      </c>
      <c r="D30" s="112" t="e">
        <f ca="1">INDIRECT("'" &amp; "Master Sheet_" &amp; TEXT($D$2,"d-mmm-yy")  &amp; "'!F30")</f>
        <v>#REF!</v>
      </c>
      <c r="E30" s="112" t="e">
        <f ca="1">INDIRECT("'" &amp; "Master Sheet_" &amp; TEXT($E$2,"d-mmm-yy")  &amp; "'!F30")</f>
        <v>#REF!</v>
      </c>
      <c r="F30" s="34" t="e">
        <f t="shared" ca="1" si="3"/>
        <v>#REF!</v>
      </c>
    </row>
    <row r="31" spans="1:6" ht="62" x14ac:dyDescent="0.35">
      <c r="A31" s="9">
        <f t="shared" si="4"/>
        <v>25</v>
      </c>
      <c r="B31" s="1" t="s">
        <v>94</v>
      </c>
      <c r="C31" s="9" t="s">
        <v>1</v>
      </c>
      <c r="D31" s="112" t="e">
        <f ca="1">INDIRECT("'" &amp; "Master Sheet_" &amp; TEXT($D$2,"d-mmm-yy")  &amp; "'!F31")</f>
        <v>#REF!</v>
      </c>
      <c r="E31" s="112" t="e">
        <f ca="1">INDIRECT("'" &amp; "Master Sheet_" &amp; TEXT($E$2,"d-mmm-yy")  &amp; "'!F31")</f>
        <v>#REF!</v>
      </c>
      <c r="F31" s="34" t="e">
        <f t="shared" ca="1" si="3"/>
        <v>#REF!</v>
      </c>
    </row>
    <row r="32" spans="1:6" ht="46.5" x14ac:dyDescent="0.35">
      <c r="A32" s="9">
        <f t="shared" si="4"/>
        <v>26</v>
      </c>
      <c r="B32" s="1" t="s">
        <v>95</v>
      </c>
      <c r="C32" s="9" t="s">
        <v>1</v>
      </c>
      <c r="D32" s="112" t="e">
        <f ca="1">INDIRECT("'" &amp; "Master Sheet_" &amp; TEXT($D$2,"d-mmm-yy")  &amp; "'!F32")</f>
        <v>#REF!</v>
      </c>
      <c r="E32" s="112" t="e">
        <f ca="1">INDIRECT("'" &amp; "Master Sheet_" &amp; TEXT($E$2,"d-mmm-yy")  &amp; "'!F32")</f>
        <v>#REF!</v>
      </c>
      <c r="F32" s="34" t="e">
        <f t="shared" ca="1" si="3"/>
        <v>#REF!</v>
      </c>
    </row>
    <row r="33" spans="1:6" x14ac:dyDescent="0.35">
      <c r="A33" s="30"/>
      <c r="B33" s="30"/>
      <c r="C33" s="30"/>
      <c r="D33" s="28"/>
      <c r="E33" s="28"/>
      <c r="F33" s="28"/>
    </row>
    <row r="34" spans="1:6" x14ac:dyDescent="0.35">
      <c r="A34" s="107" t="s">
        <v>132</v>
      </c>
      <c r="B34" s="108" t="s">
        <v>139</v>
      </c>
      <c r="C34" s="107" t="s">
        <v>4</v>
      </c>
      <c r="D34" s="109" t="s">
        <v>133</v>
      </c>
      <c r="E34" s="109" t="s">
        <v>133</v>
      </c>
      <c r="F34" s="109" t="s">
        <v>134</v>
      </c>
    </row>
    <row r="35" spans="1:6" ht="46.5" x14ac:dyDescent="0.35">
      <c r="A35" s="9">
        <f>A32+1</f>
        <v>27</v>
      </c>
      <c r="B35" s="97" t="s">
        <v>96</v>
      </c>
      <c r="C35" s="96" t="s">
        <v>6</v>
      </c>
      <c r="D35" s="112" t="e">
        <f ca="1">INDIRECT("'" &amp; "Master Sheet_" &amp; TEXT($D$2,"d-mmm-yy")  &amp; "'!F35")</f>
        <v>#REF!</v>
      </c>
      <c r="E35" s="112" t="e">
        <f ca="1">INDIRECT("'" &amp; "Master Sheet_" &amp; TEXT($E$2,"d-mmm-yy")  &amp; "'!F35")</f>
        <v>#REF!</v>
      </c>
      <c r="F35" s="34" t="e">
        <f t="shared" ref="F35:F40" ca="1" si="5">(E35-D35)</f>
        <v>#REF!</v>
      </c>
    </row>
    <row r="36" spans="1:6" ht="31" x14ac:dyDescent="0.35">
      <c r="A36" s="9">
        <f>A35+1</f>
        <v>28</v>
      </c>
      <c r="B36" s="1" t="s">
        <v>97</v>
      </c>
      <c r="C36" s="9" t="s">
        <v>1</v>
      </c>
      <c r="D36" s="112" t="e">
        <f ca="1">INDIRECT("'" &amp; "Master Sheet_" &amp; TEXT($D$2,"d-mmm-yy")  &amp; "'!F36")</f>
        <v>#REF!</v>
      </c>
      <c r="E36" s="112" t="e">
        <f ca="1">INDIRECT("'" &amp; "Master Sheet_" &amp; TEXT($E$2,"d-mmm-yy")  &amp; "'!F36")</f>
        <v>#REF!</v>
      </c>
      <c r="F36" s="34" t="e">
        <f t="shared" ca="1" si="5"/>
        <v>#REF!</v>
      </c>
    </row>
    <row r="37" spans="1:6" ht="46.5" x14ac:dyDescent="0.35">
      <c r="A37" s="9">
        <f t="shared" ref="A37:A40" si="6">A36+1</f>
        <v>29</v>
      </c>
      <c r="B37" s="97" t="s">
        <v>98</v>
      </c>
      <c r="C37" s="96" t="s">
        <v>6</v>
      </c>
      <c r="D37" s="112" t="e">
        <f ca="1">INDIRECT("'" &amp; "Master Sheet_" &amp; TEXT($D$2,"d-mmm-yy")  &amp; "'!F37")</f>
        <v>#REF!</v>
      </c>
      <c r="E37" s="112" t="e">
        <f ca="1">INDIRECT("'" &amp; "Master Sheet_" &amp; TEXT($E$2,"d-mmm-yy")  &amp; "'!F37")</f>
        <v>#REF!</v>
      </c>
      <c r="F37" s="34" t="e">
        <f t="shared" ca="1" si="5"/>
        <v>#REF!</v>
      </c>
    </row>
    <row r="38" spans="1:6" ht="31" x14ac:dyDescent="0.35">
      <c r="A38" s="9">
        <f t="shared" si="6"/>
        <v>30</v>
      </c>
      <c r="B38" s="97" t="s">
        <v>99</v>
      </c>
      <c r="C38" s="96" t="s">
        <v>6</v>
      </c>
      <c r="D38" s="112" t="e">
        <f ca="1">INDIRECT("'" &amp; "Master Sheet_" &amp; TEXT($D$2,"d-mmm-yy")  &amp; "'!F38")</f>
        <v>#REF!</v>
      </c>
      <c r="E38" s="112" t="e">
        <f ca="1">INDIRECT("'" &amp; "Master Sheet_" &amp; TEXT($E$2,"d-mmm-yy")  &amp; "'!F38")</f>
        <v>#REF!</v>
      </c>
      <c r="F38" s="34" t="e">
        <f t="shared" ca="1" si="5"/>
        <v>#REF!</v>
      </c>
    </row>
    <row r="39" spans="1:6" x14ac:dyDescent="0.35">
      <c r="A39" s="9">
        <f t="shared" si="6"/>
        <v>31</v>
      </c>
      <c r="B39" s="1" t="s">
        <v>100</v>
      </c>
      <c r="C39" s="9" t="s">
        <v>1</v>
      </c>
      <c r="D39" s="112" t="e">
        <f ca="1">INDIRECT("'" &amp; "Master Sheet_" &amp; TEXT($D$2,"d-mmm-yy")  &amp; "'!F39")</f>
        <v>#REF!</v>
      </c>
      <c r="E39" s="112" t="e">
        <f ca="1">INDIRECT("'" &amp; "Master Sheet_" &amp; TEXT($E$2,"d-mmm-yy")  &amp; "'!F39")</f>
        <v>#REF!</v>
      </c>
      <c r="F39" s="34" t="e">
        <f t="shared" ca="1" si="5"/>
        <v>#REF!</v>
      </c>
    </row>
    <row r="40" spans="1:6" ht="62" x14ac:dyDescent="0.35">
      <c r="A40" s="9">
        <f t="shared" si="6"/>
        <v>32</v>
      </c>
      <c r="B40" s="1" t="s">
        <v>101</v>
      </c>
      <c r="C40" s="9" t="s">
        <v>1</v>
      </c>
      <c r="D40" s="112" t="e">
        <f ca="1">INDIRECT("'" &amp; "Master Sheet_" &amp; TEXT($D$2,"d-mmm-yy")  &amp; "'!F40")</f>
        <v>#REF!</v>
      </c>
      <c r="E40" s="112" t="e">
        <f ca="1">INDIRECT("'" &amp; "Master Sheet_" &amp; TEXT($E$2,"d-mmm-yy")  &amp; "'!F40")</f>
        <v>#REF!</v>
      </c>
      <c r="F40" s="34" t="e">
        <f t="shared" ca="1" si="5"/>
        <v>#REF!</v>
      </c>
    </row>
    <row r="41" spans="1:6" x14ac:dyDescent="0.35">
      <c r="A41" s="30"/>
      <c r="B41" s="30"/>
      <c r="C41" s="30"/>
      <c r="D41" s="28"/>
      <c r="E41" s="28"/>
      <c r="F41" s="28"/>
    </row>
    <row r="42" spans="1:6" x14ac:dyDescent="0.35">
      <c r="A42" s="107" t="s">
        <v>132</v>
      </c>
      <c r="B42" s="108" t="s">
        <v>140</v>
      </c>
      <c r="C42" s="107" t="s">
        <v>4</v>
      </c>
      <c r="D42" s="109" t="s">
        <v>133</v>
      </c>
      <c r="E42" s="109" t="s">
        <v>133</v>
      </c>
      <c r="F42" s="109" t="s">
        <v>134</v>
      </c>
    </row>
    <row r="43" spans="1:6" ht="31" x14ac:dyDescent="0.35">
      <c r="A43" s="9">
        <f>A40+1</f>
        <v>33</v>
      </c>
      <c r="B43" s="1" t="s">
        <v>102</v>
      </c>
      <c r="C43" s="9" t="s">
        <v>1</v>
      </c>
      <c r="D43" s="112" t="e">
        <f ca="1">INDIRECT("'" &amp; "Master Sheet_" &amp; TEXT($D$2,"d-mmm-yy")  &amp; "'!F43")</f>
        <v>#REF!</v>
      </c>
      <c r="E43" s="112" t="e">
        <f ca="1">INDIRECT("'" &amp; "Master Sheet_" &amp; TEXT($E$2,"d-mmm-yy")  &amp; "'!F43")</f>
        <v>#REF!</v>
      </c>
      <c r="F43" s="34" t="e">
        <f t="shared" ref="F43:F51" ca="1" si="7">(E43-D43)</f>
        <v>#REF!</v>
      </c>
    </row>
    <row r="44" spans="1:6" ht="186" x14ac:dyDescent="0.35">
      <c r="A44" s="9">
        <f>A43+1</f>
        <v>34</v>
      </c>
      <c r="B44" s="1" t="s">
        <v>103</v>
      </c>
      <c r="C44" s="9" t="s">
        <v>1</v>
      </c>
      <c r="D44" s="112" t="e">
        <f ca="1">INDIRECT("'" &amp; "Master Sheet_" &amp; TEXT($D$2,"d-mmm-yy")  &amp; "'!F44")</f>
        <v>#REF!</v>
      </c>
      <c r="E44" s="112" t="e">
        <f ca="1">INDIRECT("'" &amp; "Master Sheet_" &amp; TEXT($E$2,"d-mmm-yy")  &amp; "'!F44")</f>
        <v>#REF!</v>
      </c>
      <c r="F44" s="34" t="e">
        <f t="shared" ca="1" si="7"/>
        <v>#REF!</v>
      </c>
    </row>
    <row r="45" spans="1:6" ht="46.5" x14ac:dyDescent="0.35">
      <c r="A45" s="9">
        <f t="shared" ref="A45:A51" si="8">A44+1</f>
        <v>35</v>
      </c>
      <c r="B45" s="1" t="s">
        <v>104</v>
      </c>
      <c r="C45" s="9" t="s">
        <v>1</v>
      </c>
      <c r="D45" s="112" t="e">
        <f ca="1">INDIRECT("'" &amp; "Master Sheet_" &amp; TEXT($D$2,"d-mmm-yy")  &amp; "'!F45")</f>
        <v>#REF!</v>
      </c>
      <c r="E45" s="112" t="e">
        <f ca="1">INDIRECT("'" &amp; "Master Sheet_" &amp; TEXT($E$2,"d-mmm-yy")  &amp; "'!F45")</f>
        <v>#REF!</v>
      </c>
      <c r="F45" s="34" t="e">
        <f t="shared" ca="1" si="7"/>
        <v>#REF!</v>
      </c>
    </row>
    <row r="46" spans="1:6" ht="186" x14ac:dyDescent="0.35">
      <c r="A46" s="9">
        <f t="shared" si="8"/>
        <v>36</v>
      </c>
      <c r="B46" s="1" t="s">
        <v>105</v>
      </c>
      <c r="C46" s="9" t="s">
        <v>1</v>
      </c>
      <c r="D46" s="112" t="e">
        <f ca="1">INDIRECT("'" &amp; "Master Sheet_" &amp; TEXT($D$2,"d-mmm-yy")  &amp; "'!F46")</f>
        <v>#REF!</v>
      </c>
      <c r="E46" s="112" t="e">
        <f ca="1">INDIRECT("'" &amp; "Master Sheet_" &amp; TEXT($E$2,"d-mmm-yy")  &amp; "'!F46")</f>
        <v>#REF!</v>
      </c>
      <c r="F46" s="34" t="e">
        <f t="shared" ca="1" si="7"/>
        <v>#REF!</v>
      </c>
    </row>
    <row r="47" spans="1:6" ht="31" x14ac:dyDescent="0.35">
      <c r="A47" s="9">
        <f t="shared" si="8"/>
        <v>37</v>
      </c>
      <c r="B47" s="1" t="s">
        <v>106</v>
      </c>
      <c r="C47" s="9" t="s">
        <v>1</v>
      </c>
      <c r="D47" s="112" t="e">
        <f ca="1">INDIRECT("'" &amp; "Master Sheet_" &amp; TEXT($D$2,"d-mmm-yy")  &amp; "'!F47")</f>
        <v>#REF!</v>
      </c>
      <c r="E47" s="112" t="e">
        <f ca="1">INDIRECT("'" &amp; "Master Sheet_" &amp; TEXT($E$2,"d-mmm-yy")  &amp; "'!F47")</f>
        <v>#REF!</v>
      </c>
      <c r="F47" s="34" t="e">
        <f t="shared" ca="1" si="7"/>
        <v>#REF!</v>
      </c>
    </row>
    <row r="48" spans="1:6" ht="46.5" x14ac:dyDescent="0.35">
      <c r="A48" s="9">
        <f t="shared" si="8"/>
        <v>38</v>
      </c>
      <c r="B48" s="1" t="s">
        <v>107</v>
      </c>
      <c r="C48" s="9" t="s">
        <v>1</v>
      </c>
      <c r="D48" s="112" t="e">
        <f ca="1">INDIRECT("'" &amp; "Master Sheet_" &amp; TEXT($D$2,"d-mmm-yy")  &amp; "'!F48")</f>
        <v>#REF!</v>
      </c>
      <c r="E48" s="112" t="e">
        <f ca="1">INDIRECT("'" &amp; "Master Sheet_" &amp; TEXT($E$2,"d-mmm-yy")  &amp; "'!F48")</f>
        <v>#REF!</v>
      </c>
      <c r="F48" s="34" t="e">
        <f t="shared" ca="1" si="7"/>
        <v>#REF!</v>
      </c>
    </row>
    <row r="49" spans="1:6" ht="46.5" x14ac:dyDescent="0.35">
      <c r="A49" s="9">
        <f t="shared" si="8"/>
        <v>39</v>
      </c>
      <c r="B49" s="1" t="s">
        <v>108</v>
      </c>
      <c r="C49" s="9" t="s">
        <v>1</v>
      </c>
      <c r="D49" s="112" t="e">
        <f ca="1">INDIRECT("'" &amp; "Master Sheet_" &amp; TEXT($D$2,"d-mmm-yy")  &amp; "'!F49")</f>
        <v>#REF!</v>
      </c>
      <c r="E49" s="112" t="e">
        <f ca="1">INDIRECT("'" &amp; "Master Sheet_" &amp; TEXT($E$2,"d-mmm-yy")  &amp; "'!F49")</f>
        <v>#REF!</v>
      </c>
      <c r="F49" s="34" t="e">
        <f t="shared" ca="1" si="7"/>
        <v>#REF!</v>
      </c>
    </row>
    <row r="50" spans="1:6" ht="46.5" x14ac:dyDescent="0.35">
      <c r="A50" s="9">
        <f t="shared" si="8"/>
        <v>40</v>
      </c>
      <c r="B50" s="1" t="s">
        <v>109</v>
      </c>
      <c r="C50" s="9" t="s">
        <v>1</v>
      </c>
      <c r="D50" s="112" t="e">
        <f ca="1">INDIRECT("'" &amp; "Master Sheet_" &amp; TEXT($D$2,"d-mmm-yy")  &amp; "'!F50")</f>
        <v>#REF!</v>
      </c>
      <c r="E50" s="112" t="e">
        <f ca="1">INDIRECT("'" &amp; "Master Sheet_" &amp; TEXT($E$2,"d-mmm-yy")  &amp; "'!F50")</f>
        <v>#REF!</v>
      </c>
      <c r="F50" s="34" t="e">
        <f t="shared" ca="1" si="7"/>
        <v>#REF!</v>
      </c>
    </row>
    <row r="51" spans="1:6" ht="31" x14ac:dyDescent="0.35">
      <c r="A51" s="9">
        <f t="shared" si="8"/>
        <v>41</v>
      </c>
      <c r="B51" s="97" t="s">
        <v>110</v>
      </c>
      <c r="C51" s="96" t="s">
        <v>6</v>
      </c>
      <c r="D51" s="112" t="e">
        <f ca="1">INDIRECT("'" &amp; "Master Sheet_" &amp; TEXT($D$2,"d-mmm-yy")  &amp; "'!F51")</f>
        <v>#REF!</v>
      </c>
      <c r="E51" s="112" t="e">
        <f ca="1">INDIRECT("'" &amp; "Master Sheet_" &amp; TEXT($E$2,"d-mmm-yy")  &amp; "'!F51")</f>
        <v>#REF!</v>
      </c>
      <c r="F51" s="34" t="e">
        <f t="shared" ca="1" si="7"/>
        <v>#REF!</v>
      </c>
    </row>
    <row r="52" spans="1:6" x14ac:dyDescent="0.35">
      <c r="A52" s="30"/>
      <c r="B52" s="30"/>
      <c r="C52" s="30"/>
      <c r="D52" s="28"/>
      <c r="E52" s="28"/>
      <c r="F52" s="28"/>
    </row>
    <row r="53" spans="1:6" x14ac:dyDescent="0.35">
      <c r="A53" s="107" t="s">
        <v>132</v>
      </c>
      <c r="B53" s="108" t="s">
        <v>141</v>
      </c>
      <c r="C53" s="107" t="s">
        <v>4</v>
      </c>
      <c r="D53" s="109" t="s">
        <v>133</v>
      </c>
      <c r="E53" s="109" t="s">
        <v>133</v>
      </c>
      <c r="F53" s="109" t="s">
        <v>134</v>
      </c>
    </row>
    <row r="54" spans="1:6" ht="46.5" x14ac:dyDescent="0.35">
      <c r="A54" s="9">
        <f>A51+1</f>
        <v>42</v>
      </c>
      <c r="B54" s="97" t="s">
        <v>111</v>
      </c>
      <c r="C54" s="96" t="s">
        <v>6</v>
      </c>
      <c r="D54" s="112" t="e">
        <f ca="1">INDIRECT("'" &amp; "Master Sheet_" &amp; TEXT($D$2,"d-mmm-yy")  &amp; "'!F54")</f>
        <v>#REF!</v>
      </c>
      <c r="E54" s="112" t="e">
        <f ca="1">INDIRECT("'" &amp; "Master Sheet_" &amp; TEXT($E$2,"d-mmm-yy")  &amp; "'!F54")</f>
        <v>#REF!</v>
      </c>
      <c r="F54" s="34" t="e">
        <f t="shared" ref="F54:F62" ca="1" si="9">(E54-D54)</f>
        <v>#REF!</v>
      </c>
    </row>
    <row r="55" spans="1:6" ht="46.5" x14ac:dyDescent="0.35">
      <c r="A55" s="9">
        <f>A54+1</f>
        <v>43</v>
      </c>
      <c r="B55" s="97" t="s">
        <v>112</v>
      </c>
      <c r="C55" s="96" t="s">
        <v>6</v>
      </c>
      <c r="D55" s="112" t="e">
        <f ca="1">INDIRECT("'" &amp; "Master Sheet_" &amp; TEXT($D$2,"d-mmm-yy")  &amp; "'!F55")</f>
        <v>#REF!</v>
      </c>
      <c r="E55" s="112" t="e">
        <f ca="1">INDIRECT("'" &amp; "Master Sheet_" &amp; TEXT($E$2,"d-mmm-yy")  &amp; "'!F55")</f>
        <v>#REF!</v>
      </c>
      <c r="F55" s="34" t="e">
        <f t="shared" ca="1" si="9"/>
        <v>#REF!</v>
      </c>
    </row>
    <row r="56" spans="1:6" ht="124" x14ac:dyDescent="0.35">
      <c r="A56" s="9">
        <f t="shared" ref="A56:A62" si="10">A55+1</f>
        <v>44</v>
      </c>
      <c r="B56" s="1" t="s">
        <v>113</v>
      </c>
      <c r="C56" s="9" t="s">
        <v>1</v>
      </c>
      <c r="D56" s="112" t="e">
        <f ca="1">INDIRECT("'" &amp; "Master Sheet_" &amp; TEXT($D$2,"d-mmm-yy")  &amp; "'!F56")</f>
        <v>#REF!</v>
      </c>
      <c r="E56" s="112" t="e">
        <f ca="1">INDIRECT("'" &amp; "Master Sheet_" &amp; TEXT($E$2,"d-mmm-yy")  &amp; "'!F56")</f>
        <v>#REF!</v>
      </c>
      <c r="F56" s="34" t="e">
        <f t="shared" ca="1" si="9"/>
        <v>#REF!</v>
      </c>
    </row>
    <row r="57" spans="1:6" ht="31" x14ac:dyDescent="0.35">
      <c r="A57" s="9">
        <f t="shared" si="10"/>
        <v>45</v>
      </c>
      <c r="B57" s="97" t="s">
        <v>114</v>
      </c>
      <c r="C57" s="96" t="s">
        <v>6</v>
      </c>
      <c r="D57" s="112" t="e">
        <f ca="1">INDIRECT("'" &amp; "Master Sheet_" &amp; TEXT($D$2,"d-mmm-yy")  &amp; "'!F57")</f>
        <v>#REF!</v>
      </c>
      <c r="E57" s="112" t="e">
        <f ca="1">INDIRECT("'" &amp; "Master Sheet_" &amp; TEXT($E$2,"d-mmm-yy")  &amp; "'!F57")</f>
        <v>#REF!</v>
      </c>
      <c r="F57" s="34" t="e">
        <f t="shared" ca="1" si="9"/>
        <v>#REF!</v>
      </c>
    </row>
    <row r="58" spans="1:6" ht="46.5" x14ac:dyDescent="0.35">
      <c r="A58" s="9">
        <f t="shared" si="10"/>
        <v>46</v>
      </c>
      <c r="B58" s="4" t="s">
        <v>115</v>
      </c>
      <c r="C58" s="9" t="s">
        <v>1</v>
      </c>
      <c r="D58" s="112" t="e">
        <f ca="1">INDIRECT("'" &amp; "Master Sheet_" &amp; TEXT($D$2,"d-mmm-yy")  &amp; "'!F58")</f>
        <v>#REF!</v>
      </c>
      <c r="E58" s="112" t="e">
        <f ca="1">INDIRECT("'" &amp; "Master Sheet_" &amp; TEXT($E$2,"d-mmm-yy")  &amp; "'!F58")</f>
        <v>#REF!</v>
      </c>
      <c r="F58" s="34" t="e">
        <f t="shared" ca="1" si="9"/>
        <v>#REF!</v>
      </c>
    </row>
    <row r="59" spans="1:6" ht="46.5" x14ac:dyDescent="0.35">
      <c r="A59" s="9">
        <f t="shared" si="10"/>
        <v>47</v>
      </c>
      <c r="B59" s="1" t="s">
        <v>116</v>
      </c>
      <c r="C59" s="9" t="s">
        <v>1</v>
      </c>
      <c r="D59" s="112" t="e">
        <f ca="1">INDIRECT("'" &amp; "Master Sheet_" &amp; TEXT($D$2,"d-mmm-yy")  &amp; "'!F59")</f>
        <v>#REF!</v>
      </c>
      <c r="E59" s="112" t="e">
        <f ca="1">INDIRECT("'" &amp; "Master Sheet_" &amp; TEXT($E$2,"d-mmm-yy")  &amp; "'!F59")</f>
        <v>#REF!</v>
      </c>
      <c r="F59" s="34" t="e">
        <f t="shared" ca="1" si="9"/>
        <v>#REF!</v>
      </c>
    </row>
    <row r="60" spans="1:6" ht="46.5" x14ac:dyDescent="0.35">
      <c r="A60" s="9">
        <f t="shared" si="10"/>
        <v>48</v>
      </c>
      <c r="B60" s="97" t="s">
        <v>117</v>
      </c>
      <c r="C60" s="96" t="s">
        <v>6</v>
      </c>
      <c r="D60" s="112" t="e">
        <f ca="1">INDIRECT("'" &amp; "Master Sheet_" &amp; TEXT($D$2,"d-mmm-yy")  &amp; "'!F60")</f>
        <v>#REF!</v>
      </c>
      <c r="E60" s="112" t="e">
        <f ca="1">INDIRECT("'" &amp; "Master Sheet_" &amp; TEXT($E$2,"d-mmm-yy")  &amp; "'!F60")</f>
        <v>#REF!</v>
      </c>
      <c r="F60" s="34" t="e">
        <f t="shared" ca="1" si="9"/>
        <v>#REF!</v>
      </c>
    </row>
    <row r="61" spans="1:6" ht="62" x14ac:dyDescent="0.35">
      <c r="A61" s="9">
        <f t="shared" si="10"/>
        <v>49</v>
      </c>
      <c r="B61" s="97" t="s">
        <v>118</v>
      </c>
      <c r="C61" s="96" t="s">
        <v>6</v>
      </c>
      <c r="D61" s="112" t="e">
        <f ca="1">INDIRECT("'" &amp; "Master Sheet_" &amp; TEXT($D$2,"d-mmm-yy")  &amp; "'!F61")</f>
        <v>#REF!</v>
      </c>
      <c r="E61" s="112" t="e">
        <f ca="1">INDIRECT("'" &amp; "Master Sheet_" &amp; TEXT($E$2,"d-mmm-yy")  &amp; "'!F61")</f>
        <v>#REF!</v>
      </c>
      <c r="F61" s="34" t="e">
        <f t="shared" ca="1" si="9"/>
        <v>#REF!</v>
      </c>
    </row>
    <row r="62" spans="1:6" ht="201.5" x14ac:dyDescent="0.35">
      <c r="A62" s="9">
        <f t="shared" si="10"/>
        <v>50</v>
      </c>
      <c r="B62" s="1" t="s">
        <v>119</v>
      </c>
      <c r="C62" s="9" t="s">
        <v>1</v>
      </c>
      <c r="D62" s="112" t="e">
        <f ca="1">INDIRECT("'" &amp; "Master Sheet_" &amp; TEXT($D$2,"d-mmm-yy")  &amp; "'!F62")</f>
        <v>#REF!</v>
      </c>
      <c r="E62" s="112" t="e">
        <f ca="1">INDIRECT("'" &amp; "Master Sheet_" &amp; TEXT($E$2,"d-mmm-yy")  &amp; "'!F62")</f>
        <v>#REF!</v>
      </c>
      <c r="F62" s="34" t="e">
        <f t="shared" ca="1" si="9"/>
        <v>#REF!</v>
      </c>
    </row>
    <row r="63" spans="1:6" x14ac:dyDescent="0.35">
      <c r="A63" s="30"/>
      <c r="B63" s="30"/>
      <c r="C63" s="30"/>
      <c r="D63" s="28"/>
      <c r="E63" s="28"/>
      <c r="F63" s="28"/>
    </row>
    <row r="64" spans="1:6" x14ac:dyDescent="0.35">
      <c r="A64" s="107" t="s">
        <v>132</v>
      </c>
      <c r="B64" s="108" t="s">
        <v>142</v>
      </c>
      <c r="C64" s="107" t="s">
        <v>4</v>
      </c>
      <c r="D64" s="109" t="s">
        <v>133</v>
      </c>
      <c r="E64" s="109" t="s">
        <v>133</v>
      </c>
      <c r="F64" s="109" t="s">
        <v>134</v>
      </c>
    </row>
    <row r="65" spans="1:6" ht="46.5" x14ac:dyDescent="0.35">
      <c r="A65" s="9">
        <f>A62+1</f>
        <v>51</v>
      </c>
      <c r="B65" s="97" t="s">
        <v>120</v>
      </c>
      <c r="C65" s="96" t="s">
        <v>6</v>
      </c>
      <c r="D65" s="112" t="e">
        <f ca="1">INDIRECT("'" &amp; "Master Sheet_" &amp; TEXT($D$2,"d-mmm-yy")  &amp; "'!F65")</f>
        <v>#REF!</v>
      </c>
      <c r="E65" s="112" t="e">
        <f ca="1">INDIRECT("'" &amp; "Master Sheet_" &amp; TEXT($E$2,"d-mmm-yy")  &amp; "'!F65")</f>
        <v>#REF!</v>
      </c>
      <c r="F65" s="34" t="e">
        <f t="shared" ref="F65:F70" ca="1" si="11">(E65-D65)</f>
        <v>#REF!</v>
      </c>
    </row>
    <row r="66" spans="1:6" ht="201.5" x14ac:dyDescent="0.35">
      <c r="A66" s="9">
        <f>A65+1</f>
        <v>52</v>
      </c>
      <c r="B66" s="1" t="s">
        <v>121</v>
      </c>
      <c r="C66" s="9" t="s">
        <v>1</v>
      </c>
      <c r="D66" s="112" t="e">
        <f ca="1">INDIRECT("'" &amp; "Master Sheet_" &amp; TEXT($D$2,"d-mmm-yy")  &amp; "'!F66")</f>
        <v>#REF!</v>
      </c>
      <c r="E66" s="112" t="e">
        <f ca="1">INDIRECT("'" &amp; "Master Sheet_" &amp; TEXT($E$2,"d-mmm-yy")  &amp; "'!F66")</f>
        <v>#REF!</v>
      </c>
      <c r="F66" s="34" t="e">
        <f t="shared" ca="1" si="11"/>
        <v>#REF!</v>
      </c>
    </row>
    <row r="67" spans="1:6" ht="201.5" x14ac:dyDescent="0.35">
      <c r="A67" s="9">
        <f t="shared" ref="A67:A70" si="12">A66+1</f>
        <v>53</v>
      </c>
      <c r="B67" s="1" t="s">
        <v>122</v>
      </c>
      <c r="C67" s="9" t="s">
        <v>1</v>
      </c>
      <c r="D67" s="112" t="e">
        <f ca="1">INDIRECT("'" &amp; "Master Sheet_" &amp; TEXT($D$2,"d-mmm-yy")  &amp; "'!F67")</f>
        <v>#REF!</v>
      </c>
      <c r="E67" s="112" t="e">
        <f ca="1">INDIRECT("'" &amp; "Master Sheet_" &amp; TEXT($E$2,"d-mmm-yy")  &amp; "'!F67")</f>
        <v>#REF!</v>
      </c>
      <c r="F67" s="34" t="e">
        <f t="shared" ca="1" si="11"/>
        <v>#REF!</v>
      </c>
    </row>
    <row r="68" spans="1:6" ht="77.5" x14ac:dyDescent="0.35">
      <c r="A68" s="9">
        <f t="shared" si="12"/>
        <v>54</v>
      </c>
      <c r="B68" s="97" t="s">
        <v>123</v>
      </c>
      <c r="C68" s="96" t="s">
        <v>6</v>
      </c>
      <c r="D68" s="112" t="e">
        <f ca="1">INDIRECT("'" &amp; "Master Sheet_" &amp; TEXT($D$2,"d-mmm-yy")  &amp; "'!F68")</f>
        <v>#REF!</v>
      </c>
      <c r="E68" s="112" t="e">
        <f ca="1">INDIRECT("'" &amp; "Master Sheet_" &amp; TEXT($E$2,"d-mmm-yy")  &amp; "'!F68")</f>
        <v>#REF!</v>
      </c>
      <c r="F68" s="34" t="e">
        <f t="shared" ca="1" si="11"/>
        <v>#REF!</v>
      </c>
    </row>
    <row r="69" spans="1:6" ht="31" x14ac:dyDescent="0.35">
      <c r="A69" s="9">
        <f t="shared" si="12"/>
        <v>55</v>
      </c>
      <c r="B69" s="97" t="s">
        <v>124</v>
      </c>
      <c r="C69" s="96" t="s">
        <v>6</v>
      </c>
      <c r="D69" s="112" t="e">
        <f ca="1">INDIRECT("'" &amp; "Master Sheet_" &amp; TEXT($D$2,"d-mmm-yy")  &amp; "'!F69")</f>
        <v>#REF!</v>
      </c>
      <c r="E69" s="112" t="e">
        <f ca="1">INDIRECT("'" &amp; "Master Sheet_" &amp; TEXT($E$2,"d-mmm-yy")  &amp; "'!F69")</f>
        <v>#REF!</v>
      </c>
      <c r="F69" s="34" t="e">
        <f t="shared" ca="1" si="11"/>
        <v>#REF!</v>
      </c>
    </row>
    <row r="70" spans="1:6" ht="31" x14ac:dyDescent="0.35">
      <c r="A70" s="9">
        <f t="shared" si="12"/>
        <v>56</v>
      </c>
      <c r="B70" s="97" t="s">
        <v>125</v>
      </c>
      <c r="C70" s="96" t="s">
        <v>6</v>
      </c>
      <c r="D70" s="112" t="e">
        <f ca="1">INDIRECT("'" &amp; "Master Sheet_" &amp; TEXT($D$2,"d-mmm-yy")  &amp; "'!F70")</f>
        <v>#REF!</v>
      </c>
      <c r="E70" s="112" t="e">
        <f ca="1">INDIRECT("'" &amp; "Master Sheet_" &amp; TEXT($E$2,"d-mmm-yy")  &amp; "'!F70")</f>
        <v>#REF!</v>
      </c>
      <c r="F70" s="34" t="e">
        <f t="shared" ca="1" si="11"/>
        <v>#REF!</v>
      </c>
    </row>
    <row r="71" spans="1:6" x14ac:dyDescent="0.35">
      <c r="A71" s="30"/>
      <c r="B71" s="30"/>
      <c r="C71" s="30"/>
      <c r="D71" s="30"/>
      <c r="E71" s="30"/>
      <c r="F71" s="30"/>
    </row>
  </sheetData>
  <conditionalFormatting sqref="D3:E8">
    <cfRule type="cellIs" dxfId="27" priority="25" operator="equal">
      <formula>3</formula>
    </cfRule>
    <cfRule type="cellIs" dxfId="26" priority="26" operator="between">
      <formula>0</formula>
      <formula>2</formula>
    </cfRule>
  </conditionalFormatting>
  <conditionalFormatting sqref="D11:E21">
    <cfRule type="cellIs" dxfId="25" priority="21" operator="equal">
      <formula>3</formula>
    </cfRule>
    <cfRule type="cellIs" dxfId="24" priority="22" operator="between">
      <formula>0</formula>
      <formula>2</formula>
    </cfRule>
  </conditionalFormatting>
  <conditionalFormatting sqref="D24:E32">
    <cfRule type="cellIs" dxfId="23" priority="9" operator="equal">
      <formula>3</formula>
    </cfRule>
    <cfRule type="cellIs" dxfId="22" priority="10" operator="between">
      <formula>0</formula>
      <formula>2</formula>
    </cfRule>
  </conditionalFormatting>
  <conditionalFormatting sqref="D35:E40">
    <cfRule type="cellIs" dxfId="21" priority="7" operator="equal">
      <formula>3</formula>
    </cfRule>
    <cfRule type="cellIs" dxfId="20" priority="8" operator="between">
      <formula>0</formula>
      <formula>2</formula>
    </cfRule>
  </conditionalFormatting>
  <conditionalFormatting sqref="D43:E51">
    <cfRule type="cellIs" dxfId="19" priority="5" operator="equal">
      <formula>3</formula>
    </cfRule>
    <cfRule type="cellIs" dxfId="18" priority="6" operator="between">
      <formula>0</formula>
      <formula>2</formula>
    </cfRule>
  </conditionalFormatting>
  <conditionalFormatting sqref="D54:E62">
    <cfRule type="cellIs" dxfId="17" priority="3" operator="equal">
      <formula>3</formula>
    </cfRule>
    <cfRule type="cellIs" dxfId="16" priority="4" operator="between">
      <formula>0</formula>
      <formula>2</formula>
    </cfRule>
  </conditionalFormatting>
  <conditionalFormatting sqref="D65:E70">
    <cfRule type="cellIs" dxfId="15" priority="1" operator="equal">
      <formula>3</formula>
    </cfRule>
    <cfRule type="cellIs" dxfId="14" priority="2" operator="between">
      <formula>0</formula>
      <formula>2</formula>
    </cfRule>
  </conditionalFormatting>
  <conditionalFormatting sqref="F3:F8">
    <cfRule type="cellIs" dxfId="13" priority="27" operator="greaterThan">
      <formula>0</formula>
    </cfRule>
    <cfRule type="cellIs" dxfId="12" priority="28" operator="lessThan">
      <formula>0</formula>
    </cfRule>
  </conditionalFormatting>
  <conditionalFormatting sqref="F11:F21">
    <cfRule type="cellIs" dxfId="11" priority="23" operator="greaterThan">
      <formula>0</formula>
    </cfRule>
    <cfRule type="cellIs" dxfId="10" priority="24" operator="lessThan">
      <formula>0</formula>
    </cfRule>
  </conditionalFormatting>
  <conditionalFormatting sqref="F24:F32">
    <cfRule type="cellIs" dxfId="9" priority="19" operator="greaterThan">
      <formula>0</formula>
    </cfRule>
    <cfRule type="cellIs" dxfId="8" priority="20" operator="lessThan">
      <formula>0</formula>
    </cfRule>
  </conditionalFormatting>
  <conditionalFormatting sqref="F35:F40">
    <cfRule type="cellIs" dxfId="7" priority="17" operator="greaterThan">
      <formula>0</formula>
    </cfRule>
    <cfRule type="cellIs" dxfId="6" priority="18" operator="lessThan">
      <formula>0</formula>
    </cfRule>
  </conditionalFormatting>
  <conditionalFormatting sqref="F43:F51">
    <cfRule type="cellIs" dxfId="5" priority="15" operator="greaterThan">
      <formula>0</formula>
    </cfRule>
    <cfRule type="cellIs" dxfId="4" priority="16" operator="lessThan">
      <formula>0</formula>
    </cfRule>
  </conditionalFormatting>
  <conditionalFormatting sqref="F54:F62">
    <cfRule type="cellIs" dxfId="3" priority="13" operator="greaterThan">
      <formula>0</formula>
    </cfRule>
    <cfRule type="cellIs" dxfId="2" priority="14" operator="lessThan">
      <formula>0</formula>
    </cfRule>
  </conditionalFormatting>
  <conditionalFormatting sqref="F65:F70">
    <cfRule type="cellIs" dxfId="1" priority="11" operator="greaterThan">
      <formula>0</formula>
    </cfRule>
    <cfRule type="cellIs" dxfId="0" priority="12"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Master Sheet_7-Mar-24</vt:lpstr>
      <vt:lpstr>Criteria-wise Breakup</vt:lpstr>
      <vt:lpstr>Overall Analysis_7-Mar-24</vt:lpstr>
      <vt:lpstr>Comparative Analysis</vt:lpstr>
      <vt:lpstr>Comparison - Criteria-wise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CSEHOD</dc:creator>
  <cp:lastModifiedBy>Nitin Garg</cp:lastModifiedBy>
  <cp:lastPrinted>2019-05-14T04:52:35Z</cp:lastPrinted>
  <dcterms:created xsi:type="dcterms:W3CDTF">2019-05-11T09:35:24Z</dcterms:created>
  <dcterms:modified xsi:type="dcterms:W3CDTF">2024-03-28T04:32:35Z</dcterms:modified>
</cp:coreProperties>
</file>